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weadviseurs-my.sharepoint.com/personal/emanuel_w-e_nl/Documents/Bureaublad/Presentatie Adaptief Vermogen/"/>
    </mc:Choice>
  </mc:AlternateContent>
  <xr:revisionPtr revIDLastSave="139" documentId="8_{C0511358-F31B-452B-9462-DCA8CFA4B0BA}" xr6:coauthVersionLast="47" xr6:coauthVersionMax="47" xr10:uidLastSave="{E980FDF1-4C98-4CB0-8391-786E01225C0B}"/>
  <workbookProtection workbookAlgorithmName="SHA-512" workbookHashValue="7Yg9z22VyS9t1oZJ6sB+9mtgMezof2Daa9C2mMAbMiYijrQS8O9HQX/0m8fJCu+IHeWVeM+cNF1QgyG+n8yiBA==" workbookSaltValue="C8PCHCsbL5jsOM+8WN0uLw==" workbookSpinCount="100000" lockStructure="1"/>
  <bookViews>
    <workbookView xWindow="-120" yWindow="-16320" windowWidth="29040" windowHeight="15840" xr2:uid="{49A9D1FE-178B-45C6-8C87-556868ACF1BB}"/>
  </bookViews>
  <sheets>
    <sheet name="Rekensheet, 23-05-22" sheetId="12" r:id="rId1"/>
    <sheet name="Weegfactoren,14-06-21" sheetId="5" r:id="rId2"/>
    <sheet name="Indicatoren,16-12-21" sheetId="11" r:id="rId3"/>
  </sheets>
  <definedNames>
    <definedName name="_xlnm._FilterDatabase" localSheetId="2" hidden="1">'Indicatoren,16-12-21'!$A$2:$AA$27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2" l="1"/>
  <c r="O16" i="12"/>
  <c r="O14" i="12"/>
  <c r="O12" i="12"/>
  <c r="O17" i="12"/>
  <c r="O15" i="12"/>
  <c r="O13" i="12"/>
  <c r="O11" i="12"/>
  <c r="J18" i="12"/>
  <c r="B176" i="12"/>
  <c r="B165" i="12"/>
  <c r="B155" i="12"/>
  <c r="B140" i="12"/>
  <c r="B125" i="12"/>
  <c r="B103" i="12"/>
  <c r="B93" i="12"/>
  <c r="B82" i="12"/>
  <c r="B69" i="12"/>
  <c r="B55" i="12"/>
  <c r="D6" i="12" l="1"/>
  <c r="O20" i="12"/>
  <c r="J11" i="12"/>
  <c r="C11" i="12"/>
  <c r="B11" i="12"/>
  <c r="J13" i="12"/>
  <c r="C13" i="12"/>
  <c r="B13" i="12"/>
  <c r="AB3" i="5"/>
  <c r="AA3" i="5"/>
  <c r="Z3" i="5"/>
  <c r="Y3" i="5"/>
  <c r="X3" i="5"/>
  <c r="W3" i="5"/>
  <c r="V3" i="5"/>
  <c r="U3" i="5"/>
  <c r="S3" i="5"/>
  <c r="R3" i="5"/>
  <c r="Q3" i="5"/>
  <c r="P3" i="5"/>
  <c r="O3" i="5"/>
  <c r="N3" i="5"/>
  <c r="M3" i="5"/>
  <c r="L3" i="5"/>
  <c r="J3" i="5"/>
  <c r="I3" i="5"/>
  <c r="H3" i="5"/>
  <c r="G3" i="5"/>
  <c r="F3" i="5"/>
  <c r="E3" i="5"/>
  <c r="D3" i="5"/>
  <c r="C3" i="5"/>
  <c r="Z25" i="5"/>
  <c r="Y25" i="5"/>
  <c r="Z22" i="5"/>
  <c r="Y22" i="5"/>
  <c r="Z19" i="5"/>
  <c r="Y19" i="5"/>
  <c r="Z14" i="5"/>
  <c r="Y14" i="5"/>
  <c r="Z11" i="5"/>
  <c r="Y11" i="5"/>
  <c r="Z8" i="5"/>
  <c r="Y8" i="5"/>
  <c r="Q23" i="5"/>
  <c r="P23" i="5"/>
  <c r="Q12" i="5"/>
  <c r="P12" i="5"/>
  <c r="H15" i="5"/>
  <c r="G15" i="5"/>
  <c r="F28" i="12"/>
  <c r="F27" i="12"/>
  <c r="L22" i="12"/>
  <c r="I56" i="12" l="1"/>
  <c r="I55" i="12"/>
  <c r="I187" i="12"/>
  <c r="I181" i="12"/>
  <c r="I165" i="12"/>
  <c r="I156" i="12"/>
  <c r="I151" i="12"/>
  <c r="I145" i="12"/>
  <c r="I133" i="12"/>
  <c r="I124" i="12"/>
  <c r="I111" i="12"/>
  <c r="I105" i="12"/>
  <c r="I96" i="12"/>
  <c r="I86" i="12"/>
  <c r="I78" i="12"/>
  <c r="I64" i="12"/>
  <c r="I59" i="12"/>
  <c r="I179" i="12"/>
  <c r="I170" i="12"/>
  <c r="I141" i="12"/>
  <c r="I143" i="12"/>
  <c r="I121" i="12"/>
  <c r="I100" i="12"/>
  <c r="I84" i="12"/>
  <c r="I63" i="12"/>
  <c r="I147" i="12"/>
  <c r="I107" i="12"/>
  <c r="I98" i="12"/>
  <c r="I69" i="12"/>
  <c r="I116" i="12"/>
  <c r="I186" i="12"/>
  <c r="I180" i="12"/>
  <c r="I171" i="12"/>
  <c r="I155" i="12"/>
  <c r="I150" i="12"/>
  <c r="I144" i="12"/>
  <c r="I131" i="12"/>
  <c r="I122" i="12"/>
  <c r="I110" i="12"/>
  <c r="I102" i="12"/>
  <c r="I95" i="12"/>
  <c r="I85" i="12"/>
  <c r="I77" i="12"/>
  <c r="I65" i="12"/>
  <c r="I58" i="12"/>
  <c r="I185" i="12"/>
  <c r="I160" i="12"/>
  <c r="I126" i="12"/>
  <c r="I109" i="12"/>
  <c r="I92" i="12"/>
  <c r="I76" i="12"/>
  <c r="I57" i="12"/>
  <c r="I172" i="12"/>
  <c r="I164" i="12"/>
  <c r="I154" i="12"/>
  <c r="I135" i="12"/>
  <c r="I128" i="12"/>
  <c r="I82" i="12"/>
  <c r="I166" i="12"/>
  <c r="I146" i="12"/>
  <c r="I127" i="12"/>
  <c r="I97" i="12"/>
  <c r="I72" i="12"/>
  <c r="I184" i="12"/>
  <c r="I178" i="12"/>
  <c r="I169" i="12"/>
  <c r="I159" i="12"/>
  <c r="I140" i="12"/>
  <c r="I142" i="12"/>
  <c r="I125" i="12"/>
  <c r="I120" i="12"/>
  <c r="I104" i="12"/>
  <c r="I94" i="12"/>
  <c r="I89" i="12"/>
  <c r="I81" i="12"/>
  <c r="I75" i="12"/>
  <c r="I61" i="12"/>
  <c r="I49" i="12"/>
  <c r="I177" i="12"/>
  <c r="I117" i="12"/>
  <c r="I71" i="12"/>
  <c r="I161" i="12"/>
  <c r="I134" i="12"/>
  <c r="I106" i="12"/>
  <c r="I60" i="12"/>
  <c r="I183" i="12"/>
  <c r="I175" i="12"/>
  <c r="I168" i="12"/>
  <c r="I158" i="12"/>
  <c r="I149" i="12"/>
  <c r="I139" i="12"/>
  <c r="I130" i="12"/>
  <c r="I119" i="12"/>
  <c r="I103" i="12"/>
  <c r="I93" i="12"/>
  <c r="I88" i="12"/>
  <c r="I79" i="12"/>
  <c r="I74" i="12"/>
  <c r="I54" i="12"/>
  <c r="I152" i="12"/>
  <c r="I87" i="12"/>
  <c r="I182" i="12"/>
  <c r="I173" i="12"/>
  <c r="I167" i="12"/>
  <c r="I157" i="12"/>
  <c r="I148" i="12"/>
  <c r="I136" i="12"/>
  <c r="I129" i="12"/>
  <c r="I118" i="12"/>
  <c r="I108" i="12"/>
  <c r="I99" i="12"/>
  <c r="I83" i="12"/>
  <c r="I70" i="12"/>
  <c r="I73" i="12"/>
  <c r="I176" i="12"/>
  <c r="I68" i="12"/>
  <c r="I50" i="12"/>
  <c r="I52" i="12"/>
  <c r="I51" i="12"/>
  <c r="J29" i="12"/>
  <c r="J30" i="12"/>
  <c r="J32" i="12"/>
  <c r="J31" i="12"/>
  <c r="J36" i="12"/>
  <c r="F10" i="12"/>
  <c r="I10" i="12"/>
  <c r="H10" i="12"/>
  <c r="J33" i="12"/>
  <c r="J34" i="12"/>
  <c r="J35" i="12"/>
  <c r="G10" i="12" l="1"/>
  <c r="L91" i="12"/>
  <c r="L123" i="12"/>
  <c r="L62" i="12"/>
  <c r="L132" i="12"/>
  <c r="L102" i="12"/>
  <c r="L153" i="12"/>
  <c r="L163" i="12"/>
  <c r="L115" i="12"/>
  <c r="L53" i="12"/>
  <c r="L174" i="12"/>
  <c r="L67" i="12"/>
  <c r="L48" i="12"/>
  <c r="L138" i="12"/>
  <c r="L80" i="12"/>
  <c r="J21" i="12"/>
  <c r="U25" i="5"/>
  <c r="AB25" i="5"/>
  <c r="AA25" i="5"/>
  <c r="X25" i="5"/>
  <c r="W25" i="5"/>
  <c r="V25" i="5"/>
  <c r="U14" i="5"/>
  <c r="AB14" i="5"/>
  <c r="AA14" i="5"/>
  <c r="X14" i="5"/>
  <c r="W14" i="5"/>
  <c r="V14" i="5"/>
  <c r="S23" i="5"/>
  <c r="L12" i="5"/>
  <c r="B187" i="12"/>
  <c r="B186" i="12"/>
  <c r="B185" i="12"/>
  <c r="B184" i="12"/>
  <c r="B183" i="12"/>
  <c r="B182" i="12"/>
  <c r="B181" i="12"/>
  <c r="B180" i="12"/>
  <c r="B179" i="12"/>
  <c r="B178" i="12"/>
  <c r="B177" i="12"/>
  <c r="B175" i="12"/>
  <c r="B173" i="12"/>
  <c r="B172" i="12"/>
  <c r="B171" i="12"/>
  <c r="B170" i="12"/>
  <c r="B169" i="12"/>
  <c r="B168" i="12"/>
  <c r="B167" i="12"/>
  <c r="B166" i="12"/>
  <c r="B164" i="12"/>
  <c r="B161" i="12"/>
  <c r="B160" i="12"/>
  <c r="B159" i="12"/>
  <c r="B158" i="12"/>
  <c r="B157" i="12"/>
  <c r="B156" i="12"/>
  <c r="B154" i="12"/>
  <c r="B152" i="12"/>
  <c r="B151" i="12"/>
  <c r="B150" i="12"/>
  <c r="B149" i="12"/>
  <c r="B148" i="12"/>
  <c r="B147" i="12"/>
  <c r="B146" i="12"/>
  <c r="B145" i="12"/>
  <c r="B144" i="12"/>
  <c r="B143" i="12"/>
  <c r="B142" i="12"/>
  <c r="B141" i="12"/>
  <c r="B139" i="12"/>
  <c r="B136" i="12"/>
  <c r="B135" i="12"/>
  <c r="B134" i="12"/>
  <c r="B133" i="12"/>
  <c r="B131" i="12"/>
  <c r="B130" i="12"/>
  <c r="B129" i="12"/>
  <c r="B128" i="12"/>
  <c r="B127" i="12"/>
  <c r="B126" i="12"/>
  <c r="B124" i="12"/>
  <c r="B122" i="12"/>
  <c r="B121" i="12"/>
  <c r="B120" i="12"/>
  <c r="B119" i="12"/>
  <c r="B118" i="12"/>
  <c r="B117" i="12"/>
  <c r="B116" i="12"/>
  <c r="B89" i="12"/>
  <c r="B88" i="12"/>
  <c r="B87" i="12"/>
  <c r="B86" i="12"/>
  <c r="B85" i="12"/>
  <c r="B84" i="12"/>
  <c r="B83" i="12"/>
  <c r="B81" i="12"/>
  <c r="B79" i="12"/>
  <c r="B78" i="12"/>
  <c r="B77" i="12"/>
  <c r="B76" i="12"/>
  <c r="B75" i="12"/>
  <c r="B74" i="12"/>
  <c r="B73" i="12"/>
  <c r="B72" i="12"/>
  <c r="B71" i="12"/>
  <c r="B70" i="12"/>
  <c r="B68" i="12"/>
  <c r="B100" i="12"/>
  <c r="B99" i="12"/>
  <c r="B98" i="12"/>
  <c r="B97" i="12"/>
  <c r="B96" i="12"/>
  <c r="B95" i="12"/>
  <c r="B94" i="12"/>
  <c r="B92" i="12"/>
  <c r="B111" i="12"/>
  <c r="B110" i="12"/>
  <c r="B109" i="12"/>
  <c r="B108" i="12"/>
  <c r="B107" i="12"/>
  <c r="B106" i="12"/>
  <c r="B105" i="12"/>
  <c r="B104" i="12"/>
  <c r="B102" i="12"/>
  <c r="B63" i="12"/>
  <c r="B54" i="12"/>
  <c r="B65" i="12" l="1"/>
  <c r="B64" i="12"/>
  <c r="B61" i="12"/>
  <c r="B60" i="12"/>
  <c r="B59" i="12"/>
  <c r="B58" i="12"/>
  <c r="B57" i="12"/>
  <c r="B56" i="12"/>
  <c r="B52" i="12"/>
  <c r="B51" i="12"/>
  <c r="B50" i="12"/>
  <c r="B49" i="12"/>
  <c r="C28" i="12"/>
  <c r="B28" i="12"/>
  <c r="C27" i="12"/>
  <c r="B27" i="12"/>
  <c r="C36" i="12"/>
  <c r="C35" i="12"/>
  <c r="C34" i="12"/>
  <c r="C33" i="12"/>
  <c r="C32" i="12"/>
  <c r="C31" i="12"/>
  <c r="C30" i="12"/>
  <c r="C29" i="12"/>
  <c r="B36" i="12"/>
  <c r="B35" i="12"/>
  <c r="B34" i="12"/>
  <c r="B33" i="12"/>
  <c r="B32" i="12"/>
  <c r="B31" i="12"/>
  <c r="B30" i="12"/>
  <c r="B29" i="12"/>
  <c r="C18" i="12"/>
  <c r="C19" i="12"/>
  <c r="C20" i="12"/>
  <c r="C21" i="12"/>
  <c r="C22" i="12"/>
  <c r="C23" i="12"/>
  <c r="C24" i="12"/>
  <c r="C25" i="12"/>
  <c r="C26" i="12"/>
  <c r="C17" i="12"/>
  <c r="C16" i="12"/>
  <c r="C15" i="12"/>
  <c r="C14" i="12"/>
  <c r="C12" i="12"/>
  <c r="B12" i="12"/>
  <c r="B26" i="12"/>
  <c r="B25" i="12"/>
  <c r="B24" i="12"/>
  <c r="B23" i="12"/>
  <c r="C92" i="12" s="1"/>
  <c r="B22" i="12"/>
  <c r="C63" i="12" s="1"/>
  <c r="B21" i="12"/>
  <c r="B20" i="12"/>
  <c r="B19" i="12"/>
  <c r="B18" i="12"/>
  <c r="B17" i="12"/>
  <c r="B16" i="12"/>
  <c r="B15" i="12"/>
  <c r="B14" i="12"/>
  <c r="J26" i="12"/>
  <c r="J25" i="12"/>
  <c r="J24" i="12"/>
  <c r="J23" i="12"/>
  <c r="J22" i="12"/>
  <c r="J20" i="12"/>
  <c r="J19" i="12"/>
  <c r="J17" i="12"/>
  <c r="J16" i="12"/>
  <c r="J15" i="12"/>
  <c r="J14" i="12"/>
  <c r="J12" i="12"/>
  <c r="F100" i="12" l="1"/>
  <c r="F94" i="12"/>
  <c r="F99" i="12"/>
  <c r="F55" i="12"/>
  <c r="F52" i="12"/>
  <c r="C54" i="12"/>
  <c r="C68" i="12"/>
  <c r="C81" i="12"/>
  <c r="F60" i="12"/>
  <c r="F54" i="12"/>
  <c r="F59" i="12"/>
  <c r="C102" i="12"/>
  <c r="F49" i="12"/>
  <c r="C165" i="12"/>
  <c r="C176" i="12"/>
  <c r="F176" i="12"/>
  <c r="F165" i="12"/>
  <c r="C140" i="12"/>
  <c r="C155" i="12"/>
  <c r="F155" i="12"/>
  <c r="F140" i="12"/>
  <c r="C103" i="12"/>
  <c r="C125" i="12"/>
  <c r="C178" i="12"/>
  <c r="F168" i="12"/>
  <c r="F125" i="12"/>
  <c r="F148" i="12"/>
  <c r="F103" i="12"/>
  <c r="F93" i="12"/>
  <c r="C82" i="12"/>
  <c r="C93" i="12"/>
  <c r="F175" i="12"/>
  <c r="F82" i="12"/>
  <c r="F98" i="12"/>
  <c r="F70" i="12"/>
  <c r="F156" i="12"/>
  <c r="C144" i="12"/>
  <c r="F181" i="12"/>
  <c r="F69" i="12"/>
  <c r="F126" i="12"/>
  <c r="C55" i="12"/>
  <c r="C69" i="12"/>
  <c r="F71" i="12"/>
  <c r="C117" i="12"/>
  <c r="F143" i="12"/>
  <c r="F85" i="12"/>
  <c r="C171" i="12"/>
  <c r="F56" i="12"/>
  <c r="C56" i="12"/>
  <c r="C148" i="12"/>
  <c r="F73" i="12"/>
  <c r="F117" i="12"/>
  <c r="C181" i="12"/>
  <c r="F86" i="12"/>
  <c r="F107" i="12"/>
  <c r="C143" i="12"/>
  <c r="C168" i="12"/>
  <c r="C85" i="12"/>
  <c r="F144" i="12"/>
  <c r="C98" i="12"/>
  <c r="F145" i="12"/>
  <c r="C70" i="12"/>
  <c r="F178" i="12"/>
  <c r="C156" i="12"/>
  <c r="C175" i="12"/>
  <c r="C126" i="12"/>
  <c r="F171" i="12"/>
  <c r="C73" i="12"/>
  <c r="C97" i="12"/>
  <c r="C169" i="12"/>
  <c r="C159" i="12"/>
  <c r="C129" i="12"/>
  <c r="C127" i="12"/>
  <c r="F58" i="12"/>
  <c r="C58" i="12"/>
  <c r="C139" i="12"/>
  <c r="F97" i="12"/>
  <c r="F68" i="12"/>
  <c r="F169" i="12"/>
  <c r="F72" i="12"/>
  <c r="C94" i="12"/>
  <c r="C116" i="12"/>
  <c r="F159" i="12"/>
  <c r="C71" i="12"/>
  <c r="F77" i="12"/>
  <c r="F179" i="12"/>
  <c r="F129" i="12"/>
  <c r="F128" i="12"/>
  <c r="F166" i="12"/>
  <c r="F127" i="12"/>
  <c r="F154" i="12"/>
  <c r="F75" i="12"/>
  <c r="F149" i="12"/>
  <c r="C128" i="12"/>
  <c r="C75" i="12"/>
  <c r="C59" i="12"/>
  <c r="F133" i="12"/>
  <c r="F81" i="12"/>
  <c r="F160" i="12"/>
  <c r="C96" i="12"/>
  <c r="C134" i="12"/>
  <c r="C146" i="12"/>
  <c r="C95" i="12"/>
  <c r="F105" i="12"/>
  <c r="C167" i="12"/>
  <c r="C118" i="12"/>
  <c r="F136" i="12"/>
  <c r="F157" i="12"/>
  <c r="C76" i="12"/>
  <c r="C142" i="12"/>
  <c r="C99" i="12"/>
  <c r="C141" i="12"/>
  <c r="C107" i="12"/>
  <c r="C145" i="12"/>
  <c r="F139" i="12"/>
  <c r="F116" i="12"/>
  <c r="C166" i="12"/>
  <c r="C49" i="12"/>
  <c r="C60" i="12"/>
  <c r="C133" i="12"/>
  <c r="C160" i="12"/>
  <c r="F96" i="12"/>
  <c r="F92" i="12"/>
  <c r="F134" i="12"/>
  <c r="F146" i="12"/>
  <c r="F95" i="12"/>
  <c r="C105" i="12"/>
  <c r="F167" i="12"/>
  <c r="F118" i="12"/>
  <c r="C136" i="12"/>
  <c r="C157" i="12"/>
  <c r="F76" i="12"/>
  <c r="F142" i="12"/>
  <c r="F141" i="12"/>
  <c r="C72" i="12"/>
  <c r="C77" i="12"/>
  <c r="C154" i="12"/>
  <c r="C50" i="12"/>
  <c r="F50" i="12"/>
  <c r="F64" i="12"/>
  <c r="C64" i="12"/>
  <c r="C170" i="12"/>
  <c r="C87" i="12"/>
  <c r="F78" i="12"/>
  <c r="F74" i="12"/>
  <c r="F147" i="12"/>
  <c r="C108" i="12"/>
  <c r="F164" i="12"/>
  <c r="F180" i="12"/>
  <c r="F130" i="12"/>
  <c r="C106" i="12"/>
  <c r="F177" i="12"/>
  <c r="C158" i="12"/>
  <c r="C84" i="12"/>
  <c r="C124" i="12"/>
  <c r="C83" i="12"/>
  <c r="C104" i="12"/>
  <c r="C135" i="12"/>
  <c r="F63" i="12"/>
  <c r="C86" i="12"/>
  <c r="C57" i="12"/>
  <c r="F57" i="12"/>
  <c r="C179" i="12"/>
  <c r="C149" i="12"/>
  <c r="F51" i="12"/>
  <c r="C51" i="12"/>
  <c r="F65" i="12"/>
  <c r="C65" i="12"/>
  <c r="F170" i="12"/>
  <c r="F87" i="12"/>
  <c r="C78" i="12"/>
  <c r="C74" i="12"/>
  <c r="C147" i="12"/>
  <c r="F108" i="12"/>
  <c r="C164" i="12"/>
  <c r="C180" i="12"/>
  <c r="C130" i="12"/>
  <c r="F106" i="12"/>
  <c r="C177" i="12"/>
  <c r="F158" i="12"/>
  <c r="F84" i="12"/>
  <c r="F124" i="12"/>
  <c r="F83" i="12"/>
  <c r="F104" i="12"/>
  <c r="F135" i="12"/>
  <c r="F102" i="12"/>
  <c r="C161" i="12"/>
  <c r="C185" i="12"/>
  <c r="C187" i="12"/>
  <c r="C186" i="12"/>
  <c r="F186" i="12"/>
  <c r="C184" i="12"/>
  <c r="C182" i="12"/>
  <c r="C183" i="12"/>
  <c r="C173" i="12"/>
  <c r="C172" i="12"/>
  <c r="C131" i="12"/>
  <c r="C150" i="12"/>
  <c r="C152" i="12"/>
  <c r="C151" i="12"/>
  <c r="C121" i="12"/>
  <c r="C119" i="12"/>
  <c r="C120" i="12"/>
  <c r="C122" i="12"/>
  <c r="C79" i="12"/>
  <c r="C89" i="12"/>
  <c r="C88" i="12"/>
  <c r="C100" i="12"/>
  <c r="C110" i="12"/>
  <c r="C111" i="12"/>
  <c r="C109" i="12"/>
  <c r="C52" i="12"/>
  <c r="C61" i="12"/>
  <c r="F120" i="12"/>
  <c r="F61" i="12"/>
  <c r="F121" i="12"/>
  <c r="F89" i="12"/>
  <c r="F88" i="12"/>
  <c r="F111" i="12"/>
  <c r="F185" i="12"/>
  <c r="F122" i="12"/>
  <c r="AD3" i="5" l="1"/>
  <c r="F183" i="12"/>
  <c r="F187" i="12"/>
  <c r="F184" i="12"/>
  <c r="F182" i="12"/>
  <c r="F173" i="12"/>
  <c r="F172" i="12"/>
  <c r="F161" i="12"/>
  <c r="F150" i="12"/>
  <c r="F152" i="12"/>
  <c r="F151" i="12"/>
  <c r="F131" i="12"/>
  <c r="F119" i="12"/>
  <c r="F79" i="12"/>
  <c r="F110" i="12"/>
  <c r="F109" i="12"/>
  <c r="AD6" i="5" l="1"/>
  <c r="H48" i="12" s="1"/>
  <c r="AD4" i="5"/>
  <c r="G42" i="12" s="1"/>
  <c r="U22" i="5"/>
  <c r="U19" i="5"/>
  <c r="U11" i="5"/>
  <c r="U8" i="5"/>
  <c r="V22" i="5"/>
  <c r="V19" i="5"/>
  <c r="V11" i="5"/>
  <c r="V8" i="5"/>
  <c r="W22" i="5"/>
  <c r="W19" i="5"/>
  <c r="W11" i="5"/>
  <c r="W8" i="5"/>
  <c r="X22" i="5"/>
  <c r="X19" i="5"/>
  <c r="X11" i="5"/>
  <c r="AD11" i="5" s="1"/>
  <c r="H80" i="12" s="1"/>
  <c r="X8" i="5"/>
  <c r="AD8" i="5" s="1"/>
  <c r="H62" i="12" s="1"/>
  <c r="AA22" i="5"/>
  <c r="AA19" i="5"/>
  <c r="AA11" i="5"/>
  <c r="AA8" i="5"/>
  <c r="L23" i="5"/>
  <c r="M23" i="5"/>
  <c r="M12" i="5"/>
  <c r="N23" i="5"/>
  <c r="N12" i="5"/>
  <c r="O23" i="5"/>
  <c r="O12" i="5"/>
  <c r="R23" i="5"/>
  <c r="R12" i="5"/>
  <c r="F15" i="5"/>
  <c r="AD15" i="5" s="1"/>
  <c r="G43" i="12" s="1"/>
  <c r="E15" i="5"/>
  <c r="C15" i="5"/>
  <c r="D15" i="5"/>
  <c r="I15" i="5"/>
  <c r="S12" i="5"/>
  <c r="AB11" i="5"/>
  <c r="AB8" i="5"/>
  <c r="AB22" i="5"/>
  <c r="AD22" i="5" s="1"/>
  <c r="H153" i="12" s="1"/>
  <c r="AB19" i="5"/>
  <c r="J15" i="5"/>
  <c r="AD14" i="5"/>
  <c r="H101" i="12" s="1"/>
  <c r="AD12" i="5"/>
  <c r="G90" i="12" s="1"/>
  <c r="AD23" i="5"/>
  <c r="G162" i="12" s="1"/>
  <c r="AD13" i="5"/>
  <c r="H91" i="12" s="1"/>
  <c r="AD25" i="5"/>
  <c r="H174" i="12" s="1"/>
  <c r="AD16" i="5"/>
  <c r="G114" i="12" s="1"/>
  <c r="AD17" i="5"/>
  <c r="H115" i="12" s="1"/>
  <c r="AD5" i="5"/>
  <c r="G47" i="12" s="1"/>
  <c r="AD9" i="5"/>
  <c r="G66" i="12" s="1"/>
  <c r="AD18" i="5"/>
  <c r="H123" i="12" s="1"/>
  <c r="AD21" i="5"/>
  <c r="H138" i="12" s="1"/>
  <c r="AD20" i="5"/>
  <c r="G137" i="12" s="1"/>
  <c r="AD7" i="5"/>
  <c r="H53" i="12" s="1"/>
  <c r="AD24" i="5"/>
  <c r="H163" i="12" s="1"/>
  <c r="AD10" i="5"/>
  <c r="H67" i="12" s="1"/>
  <c r="J51" i="12" l="1"/>
  <c r="J52" i="12"/>
  <c r="J150" i="12"/>
  <c r="J173" i="12"/>
  <c r="J131" i="12"/>
  <c r="J151" i="12"/>
  <c r="J183" i="12"/>
  <c r="J187" i="12"/>
  <c r="J184" i="12"/>
  <c r="J172" i="12"/>
  <c r="J55" i="12"/>
  <c r="J59" i="12"/>
  <c r="J63" i="12"/>
  <c r="J49" i="12"/>
  <c r="J64" i="12"/>
  <c r="J57" i="12"/>
  <c r="J50" i="12"/>
  <c r="J56" i="12"/>
  <c r="J58" i="12"/>
  <c r="J164" i="12"/>
  <c r="J181" i="12"/>
  <c r="J169" i="12"/>
  <c r="J171" i="12"/>
  <c r="J166" i="12"/>
  <c r="J170" i="12"/>
  <c r="J176" i="12"/>
  <c r="J180" i="12"/>
  <c r="J185" i="12"/>
  <c r="J186" i="12"/>
  <c r="J165" i="12"/>
  <c r="J178" i="12"/>
  <c r="J167" i="12"/>
  <c r="J168" i="12"/>
  <c r="J179" i="12"/>
  <c r="J175" i="12"/>
  <c r="J177" i="12"/>
  <c r="J161" i="12"/>
  <c r="J119" i="12"/>
  <c r="J94" i="12"/>
  <c r="J95" i="12"/>
  <c r="J97" i="12"/>
  <c r="J104" i="12"/>
  <c r="J107" i="12"/>
  <c r="J117" i="12"/>
  <c r="J124" i="12"/>
  <c r="J116" i="12"/>
  <c r="J130" i="12"/>
  <c r="J126" i="12"/>
  <c r="J125" i="12"/>
  <c r="J118" i="12"/>
  <c r="J129" i="12"/>
  <c r="J120" i="12"/>
  <c r="J122" i="12"/>
  <c r="J128" i="12"/>
  <c r="J127" i="12"/>
  <c r="J121" i="12"/>
  <c r="J144" i="12"/>
  <c r="J156" i="12"/>
  <c r="J146" i="12"/>
  <c r="J159" i="12"/>
  <c r="J155" i="12"/>
  <c r="J139" i="12"/>
  <c r="J149" i="12"/>
  <c r="J143" i="12"/>
  <c r="J140" i="12"/>
  <c r="J142" i="12"/>
  <c r="J154" i="12"/>
  <c r="J158" i="12"/>
  <c r="J141" i="12"/>
  <c r="J147" i="12"/>
  <c r="J148" i="12"/>
  <c r="J145" i="12"/>
  <c r="J160" i="12"/>
  <c r="J157" i="12"/>
  <c r="J83" i="12"/>
  <c r="J87" i="12"/>
  <c r="J68" i="12"/>
  <c r="J72" i="12"/>
  <c r="J70" i="12"/>
  <c r="J69" i="12"/>
  <c r="J84" i="12"/>
  <c r="J152" i="12"/>
  <c r="J182" i="12"/>
  <c r="J93" i="12"/>
  <c r="J103" i="12"/>
  <c r="J82" i="12"/>
  <c r="AD19" i="5"/>
  <c r="H132" i="12" s="1"/>
  <c r="J135" i="12" s="1"/>
  <c r="J89" i="12"/>
  <c r="J65" i="12"/>
  <c r="J54" i="12"/>
  <c r="J60" i="12"/>
  <c r="J61" i="12"/>
  <c r="J102" i="12"/>
  <c r="J105" i="12"/>
  <c r="J106" i="12"/>
  <c r="J99" i="12"/>
  <c r="J111" i="12"/>
  <c r="J98" i="12"/>
  <c r="J110" i="12"/>
  <c r="J108" i="12"/>
  <c r="J92" i="12"/>
  <c r="J96" i="12"/>
  <c r="J109" i="12"/>
  <c r="J100" i="12"/>
  <c r="J73" i="12"/>
  <c r="J88" i="12"/>
  <c r="J77" i="12"/>
  <c r="J81" i="12"/>
  <c r="J79" i="12"/>
  <c r="J85" i="12"/>
  <c r="J71" i="12"/>
  <c r="J78" i="12"/>
  <c r="J74" i="12"/>
  <c r="J75" i="12"/>
  <c r="J86" i="12"/>
  <c r="J76" i="12"/>
  <c r="J138" i="12" l="1"/>
  <c r="J123" i="12"/>
  <c r="J153" i="12"/>
  <c r="J174" i="12"/>
  <c r="J163" i="12"/>
  <c r="J136" i="12"/>
  <c r="J134" i="12"/>
  <c r="J53" i="12"/>
  <c r="J133" i="12"/>
  <c r="J62" i="12"/>
  <c r="J115" i="12"/>
  <c r="J48" i="12"/>
  <c r="J67" i="12"/>
  <c r="J80" i="12"/>
  <c r="J91" i="12"/>
  <c r="J101" i="12"/>
  <c r="J90" i="12" l="1"/>
  <c r="J132" i="12"/>
  <c r="J114" i="12" s="1"/>
  <c r="J137" i="12"/>
  <c r="J47" i="12"/>
  <c r="J162" i="12"/>
  <c r="J66" i="12"/>
  <c r="J46" i="12" l="1"/>
  <c r="J42" i="12" s="1"/>
  <c r="J113" i="12"/>
  <c r="J43" i="12" s="1"/>
  <c r="J41" i="12" l="1"/>
  <c r="J38" i="12" s="1"/>
</calcChain>
</file>

<file path=xl/sharedStrings.xml><?xml version="1.0" encoding="utf-8"?>
<sst xmlns="http://schemas.openxmlformats.org/spreadsheetml/2006/main" count="501" uniqueCount="362">
  <si>
    <t>REKENTOOL: METHODE ADAPTIEF VERMOGEN 1.0</t>
  </si>
  <si>
    <t>© W/E adviseurs, oktober 2021</t>
  </si>
  <si>
    <t>INVOER CONTEXT</t>
  </si>
  <si>
    <t>Gebruiksfunctie</t>
  </si>
  <si>
    <t>Winkel</t>
  </si>
  <si>
    <t>Locatietype</t>
  </si>
  <si>
    <t>Niet-binnenstedelijk</t>
  </si>
  <si>
    <t>Context</t>
  </si>
  <si>
    <t>INVOER PRESTATIES PER INDICATOR</t>
  </si>
  <si>
    <t>Keuze invoer aanvullend</t>
  </si>
  <si>
    <t>specificatie</t>
  </si>
  <si>
    <t>prestatie</t>
  </si>
  <si>
    <t>slecht</t>
  </si>
  <si>
    <t>normaal</t>
  </si>
  <si>
    <t>beter</t>
  </si>
  <si>
    <t>goed</t>
  </si>
  <si>
    <t>punten</t>
  </si>
  <si>
    <t>Gebruiksfuncties</t>
  </si>
  <si>
    <t>aantal per prestatie</t>
  </si>
  <si>
    <t>0 / 1 / 2 / 4</t>
  </si>
  <si>
    <t>Woon</t>
  </si>
  <si>
    <t>Code</t>
  </si>
  <si>
    <t>x</t>
  </si>
  <si>
    <t>Kantoor</t>
  </si>
  <si>
    <t>1.WO-BI</t>
  </si>
  <si>
    <t>2.WO-NB</t>
  </si>
  <si>
    <t>Utiliteit,overig</t>
  </si>
  <si>
    <t>3.KA-BI</t>
  </si>
  <si>
    <t>4.KA-NB</t>
  </si>
  <si>
    <t>5.WI-BI</t>
  </si>
  <si>
    <t>Binnenstedelijk</t>
  </si>
  <si>
    <t>6.WI-NB</t>
  </si>
  <si>
    <t>7.UO-BI</t>
  </si>
  <si>
    <t>8.UO-NB</t>
  </si>
  <si>
    <t>Invoeropties</t>
  </si>
  <si>
    <t>Wel/geen utilitiet</t>
  </si>
  <si>
    <t>gebruik defaults</t>
  </si>
  <si>
    <t>Opties</t>
  </si>
  <si>
    <t>matig</t>
  </si>
  <si>
    <t>'rode vlag' voor Herbestemmingsdynamiek</t>
  </si>
  <si>
    <t>hoogte ≤ 260 mm</t>
  </si>
  <si>
    <t>-</t>
  </si>
  <si>
    <t>voldoende</t>
  </si>
  <si>
    <t>rode vlag' voor herverkavelbaarheid en herindeelbaarheid</t>
  </si>
  <si>
    <t>daglichtopening/diepte ≤ 0,5</t>
  </si>
  <si>
    <t>RESULTATEN</t>
  </si>
  <si>
    <t>SCORE</t>
  </si>
  <si>
    <t>ADAPTIEF VERMOGEN (gewogen sommering over beide perspectieven)</t>
  </si>
  <si>
    <t>weging</t>
  </si>
  <si>
    <t>deelscore</t>
  </si>
  <si>
    <t>GEBRUIKSDYNAMIEK</t>
  </si>
  <si>
    <t>HERBESTEMMINGSDYNAMIEK</t>
  </si>
  <si>
    <t>Weegfactoren</t>
  </si>
  <si>
    <t>cluster</t>
  </si>
  <si>
    <t>type</t>
  </si>
  <si>
    <t>indicator</t>
  </si>
  <si>
    <t>Gebouwvolume</t>
  </si>
  <si>
    <t>Uitbreidbaarheid</t>
  </si>
  <si>
    <t>Afstootbaarheid</t>
  </si>
  <si>
    <t>Verplaatsbaarheid</t>
  </si>
  <si>
    <t>Indeling binnen volume</t>
  </si>
  <si>
    <t>Herverkavelbaarheid</t>
  </si>
  <si>
    <t>Herindeelbaarheid (binnen unit)</t>
  </si>
  <si>
    <t>Gebouwkwaliteit</t>
  </si>
  <si>
    <t>Uitbreidbaarheid voorzieningen</t>
  </si>
  <si>
    <t>Aanpasbaarheid technische kwaliteit</t>
  </si>
  <si>
    <t>Weegset alle contexten</t>
  </si>
  <si>
    <t>Perspectief</t>
  </si>
  <si>
    <t>Cluster</t>
  </si>
  <si>
    <t>Weegset</t>
  </si>
  <si>
    <t>Item / context</t>
  </si>
  <si>
    <t>Gebruiksdynamiek</t>
  </si>
  <si>
    <t>Herbestemmingsdynamiek</t>
  </si>
  <si>
    <t>Aanpasbaar volume</t>
  </si>
  <si>
    <t>Aanpasbaar binnen volume</t>
  </si>
  <si>
    <t>Indicator</t>
  </si>
  <si>
    <t>Dragend of aanvullend</t>
  </si>
  <si>
    <t>Gebruik- en/of herbestemmings-dynamiek</t>
  </si>
  <si>
    <t>Omschrijving</t>
  </si>
  <si>
    <t>Belang</t>
  </si>
  <si>
    <t>Wijziging in toename gebruiksoppervlak</t>
  </si>
  <si>
    <t>Wijziging in afname gebruiksoppervlak</t>
  </si>
  <si>
    <t>Wijziging in plaats gebouw</t>
  </si>
  <si>
    <t>Wijziging in grootte/functies op gebouwniveau</t>
  </si>
  <si>
    <t>Wijziging indeling in gebouw</t>
  </si>
  <si>
    <t>1. Slecht</t>
  </si>
  <si>
    <t>2. Redelijk</t>
  </si>
  <si>
    <t>3. Goed</t>
  </si>
  <si>
    <t>GPR</t>
  </si>
  <si>
    <t>Flextool DGBC</t>
  </si>
  <si>
    <t>D01a</t>
  </si>
  <si>
    <t>Dragend</t>
  </si>
  <si>
    <t>Gebruik</t>
  </si>
  <si>
    <t>D</t>
  </si>
  <si>
    <t xml:space="preserve"> 5.2.4: biedt meer opties </t>
  </si>
  <si>
    <t>D01b</t>
  </si>
  <si>
    <t>Herbestemming</t>
  </si>
  <si>
    <t>D02a</t>
  </si>
  <si>
    <t>Gebruik en Herbestemming</t>
  </si>
  <si>
    <t>Is het gebouw overgedimensioneerd m.b.t. vereiste ruimte c.q. beschikbaar vloeroppervlak?</t>
  </si>
  <si>
    <t xml:space="preserve">Belangrijk. Naarmate er meer ruimte/vloeroppervlak beschikbaar is (b.v. zoneringssysteem met margeruimtes) dan neemt de herverkavelbaarheid, herindeelbaarheid en herbestemmingsmogelijkheid t.b.v. toekomstige functiewijzigingen toe. </t>
  </si>
  <si>
    <t>Nee</t>
  </si>
  <si>
    <t>5 - 10% overgedimensioneerd</t>
  </si>
  <si>
    <t>10 - 20% overgedimensioneerd</t>
  </si>
  <si>
    <t>&gt; 20% overgedimensioneerd</t>
  </si>
  <si>
    <t xml:space="preserve">B </t>
  </si>
  <si>
    <t>D02b</t>
  </si>
  <si>
    <t>D03</t>
  </si>
  <si>
    <t>Vrije verdiepingshoogte</t>
  </si>
  <si>
    <t>Belangrijk. Naarmate er meer ruimte/vloeroppervlak beschikbaar is (b.v. zoneringssysteem met margeruimtes) dan neemt de herverkavelbaarheid, herindeelbaarheid en herbestemmingsmogelijkheid t.b.v. toekomstige functiewijzigingen toe.</t>
  </si>
  <si>
    <t>&lt; 2.60 m</t>
  </si>
  <si>
    <t>2.60 - 3.00 m</t>
  </si>
  <si>
    <t>3.00 - 3.40 m</t>
  </si>
  <si>
    <t>&gt;3.40 m</t>
  </si>
  <si>
    <t>B</t>
  </si>
  <si>
    <t xml:space="preserve">12. Afmeting van de netto interne hoogte. Nagenoeg gelijk. </t>
  </si>
  <si>
    <t>D04</t>
  </si>
  <si>
    <t>Overdimensionering bouwkundige ruimte/reservering voor E&amp;W- installaties en schachten</t>
  </si>
  <si>
    <t>Is de bouwkundig gereserveerde ruimte voor (W, E, ECT) installaties overgedimensioneerd?</t>
  </si>
  <si>
    <t xml:space="preserve">Belangrijk. Als de ruimte reservering voor de installaties is overgedimensioneerd, neemt de uitbreidbaarheid t.b.v. toekomstige functiewijzigingen toe, omdat extra installaties kunnen worden toegevoegd. </t>
  </si>
  <si>
    <t>Niet overgedimensioneerd</t>
  </si>
  <si>
    <t>10 - 30% overgedimensioneerd</t>
  </si>
  <si>
    <t>30 - 50% overgedimensioneerd</t>
  </si>
  <si>
    <t>&gt; 50% overgedimensioneerd</t>
  </si>
  <si>
    <t>I</t>
  </si>
  <si>
    <t>D05</t>
  </si>
  <si>
    <t xml:space="preserve">Uitbreidbaar gebouw of woning/unit, horizontaal en/of vertikaal
</t>
  </si>
  <si>
    <t>In hoeverre kan het gebouw of de woning/unit horizontaal en/of vertikaal uitgebreid worden, zonder de hoofddraagconstructie aan te passen?</t>
  </si>
  <si>
    <t xml:space="preserve">Belangrijk. Naarmate een gebouw uitgebreid kan worden voor nieuwe of grotere bestaande functies, neemt de herbestemmingsmogelijkheid en uitbreidbaarheid van het gebouw toe. </t>
  </si>
  <si>
    <t>Individuele horizontale en/of vertikale uitbreiding van een gebruikersunit is niet mogelijk.</t>
  </si>
  <si>
    <t>10 - 30% uitbreidbaar</t>
  </si>
  <si>
    <t>30 - 50% uitbreidbaar</t>
  </si>
  <si>
    <t>&gt; 50% uitbreidbaar</t>
  </si>
  <si>
    <t>U</t>
  </si>
  <si>
    <t>5.2.2</t>
  </si>
  <si>
    <t>D06</t>
  </si>
  <si>
    <t xml:space="preserve">Instelbaarheid van installaties
</t>
  </si>
  <si>
    <t>In hoeverre kunnen de (W, E, ICT) installaties makkelijk reageren op wijzigende functionele eisen? Hoe instelbaar zijn de installaties?</t>
  </si>
  <si>
    <t xml:space="preserve">Belangrijk. Naar mate de instelbaarheid en regelbaarheid van de installatiecomponenten groter is, is de uitbreidbaarheid en aanpasbaarheid van het gebouw groter. </t>
  </si>
  <si>
    <t>Slecht instelbaar (monofunctioneel of gefixeerd gebruik)</t>
  </si>
  <si>
    <t>Beperkt instelbaar, slechts na ingrijpende maatregelen</t>
  </si>
  <si>
    <t>Deels instelbaar, na eenvoudige maatregelen</t>
  </si>
  <si>
    <t>Goed en eenvoudig instelbaar: het meten/regelen bij verschillend gebruik is direct mogelijk</t>
  </si>
  <si>
    <t>3. In hoeverre liggen de E-faciliteiten in een raster?</t>
  </si>
  <si>
    <t>D07</t>
  </si>
  <si>
    <t xml:space="preserve">Verplaatsbare binnenwanden
</t>
  </si>
  <si>
    <t>In hoeverre zijn binnenwanden, zowel ruimte- en/of functiescheidend, makkelijk te verplaatsen?</t>
  </si>
  <si>
    <t>Belangrijk. Naar mate binnenwanden eenvoudiger te verplaatsen zijn, neemt de verplaatsbaarheid van het gebouw toe.</t>
  </si>
  <si>
    <t>Binnenwanden zijn niet zonder ingrijpende/kostbare bouwkundige ingrepen verplaatsbaar.</t>
  </si>
  <si>
    <t>Binnenwanden zijn niet verplaatsbaar, wel afbreekbaar.</t>
  </si>
  <si>
    <t>Binnenwanden zijn verplaatsbaar door ze af te breken en opnieuw op te bouwen.</t>
  </si>
  <si>
    <t>Binnenwanden zijn eenvoudig zonder ingrijpende/kostbare bouwkundige ingrepen verplaatsbaar (b.v. systeemwanden).</t>
  </si>
  <si>
    <t>2. Welke binnenwanden worden toegepast en in hoeverre zijn de binnenwanden verplaatsbaar en herbruikbaar?
5. Welke functiescheidende wanden worden toegepast en in hoeverre zijn deze verplaatsbaar en herbruikbaar?</t>
  </si>
  <si>
    <t>D08</t>
  </si>
  <si>
    <t xml:space="preserve">Ontkoppelbaarheid en bereikbaarheid installatiecomponenten
</t>
  </si>
  <si>
    <t>Kunnen de componenten van de installaties makkelijk worden ontkoppeld?</t>
  </si>
  <si>
    <t>Belangrijk. Naarmate de bereikbaarheid en ontkoppelbaarheid van installatiecomponenten groter is, neemt de herindeelbaarheid en transformeerbaarheid toe.</t>
  </si>
  <si>
    <t>Componenten zijn slecht bereikbaar (op dragerniveau, ingestort) en o.a. daardoor zijn ze niet ontkoppelbaar, demonteerbaar en bereikbaar. N</t>
  </si>
  <si>
    <t>Componenten zijn slecht bereikbaar (deels op drager- en inbouwniveau) en o.a. daardoor slecht ontkoppelbaar, demonteerbaar of bereikbaar.</t>
  </si>
  <si>
    <t>Componenten zijn goed bereikbaar (componenten op inbouwniveau) en zijn (groten)deels te ontkoppelen en demonteren.</t>
  </si>
  <si>
    <t>Componenten zijn zeer goed bereikbaar (op inbouwniveau) en zijn volledig ontkoppelbaar, demonteerbaar en stekkerbaar.</t>
  </si>
  <si>
    <t xml:space="preserve">13. Waar zijn de installaties geplaatst? </t>
  </si>
  <si>
    <t>D09</t>
  </si>
  <si>
    <t>Positionering obstakels draagstructuur</t>
  </si>
  <si>
    <t>Op welke wijze werken onderdelen van de draagstructuur belemmerend voor de herindeelbaarheid van de woning of unit?</t>
  </si>
  <si>
    <t>De mogelijkheid voor herverkaveling of herindeling in het gebouw wordt volledig belemmerd door moeilijk of niet te verwijderen obstakels. Units kleiner dan 75m2 zijn onmogelijk.</t>
  </si>
  <si>
    <t>De mogelijkheid voor herverkaveling of herindeling in het gebouw wordt ernstig belemmerd: units tussen de 50-75m2 zijn mogelijk.</t>
  </si>
  <si>
    <t>De mogelijkheid voor herverkaveling of herindeling in het gebouw wordt beperkt belemmerd: units tussen de 25-50m2 zijn mogelijk.</t>
  </si>
  <si>
    <t>De mogelijkheid voor herverkaveling of herindeling in het gebouw wordt niet belemmerd door moeilijk of niet te verwijderen obstakels.  Units van &lt; 25 m2 zijn mogelijk</t>
  </si>
  <si>
    <t xml:space="preserve">1. Mogelijkheid tot indeling volgens een bepaalde stramienmaat (diepte) van de kolomplaatsing tussen de buitengevels
7. Heeft het gebouw wel of geen dragende gevel en/of obstakels in de ruimte? Doel flextool komt overeen met dit doel. </t>
  </si>
  <si>
    <t>D10</t>
  </si>
  <si>
    <t xml:space="preserve">Daglichttoetreding
</t>
  </si>
  <si>
    <t>In hoeverre worden de ruimtes in het gebouw voorzien van daglicht?</t>
  </si>
  <si>
    <t xml:space="preserve">Belangrijk. Naarmate er meer daglicht in de ruimtes van het gebouw komt, hoe beter tegemoet gekomen kan worden aan veranderende eisen m.b.t. het wijzigen van de inrichting en kwaliteit van het gebouw. </t>
  </si>
  <si>
    <t>Daglichtequivalent &lt; 1/20</t>
  </si>
  <si>
    <t>Daglichtequivalent 1/20-1/10</t>
  </si>
  <si>
    <t>Daglichtequivalent 1/10-1/5</t>
  </si>
  <si>
    <t>Daglichtequivalent &gt; 1/5</t>
  </si>
  <si>
    <t xml:space="preserve">11. Vloeroppervlak van de gevelzone met ramen (7 meter diep) als percentage van totaal BVO. </t>
  </si>
  <si>
    <t>D11</t>
  </si>
  <si>
    <t>Aanwezigheid+positie van trappen en/of liften, of uitbredingsmogelijkheden voor trappen/liften</t>
  </si>
  <si>
    <t xml:space="preserve">Belangrijk. Naarmate er voor elke kern een trap en/of lift in een gebouw aanwezig is, neemt de herbestemmingskwaliteit naar andere functies toe. </t>
  </si>
  <si>
    <t xml:space="preserve">0. Er is maar een decentraal trappen- en/of lifthuis aanwezig in het gebouw en er zijn geen nieuwe trappen/liften toe te voegen zonder ingrijpende en kostbare maatregelen. </t>
  </si>
  <si>
    <t xml:space="preserve">1. Er is een centraal trappen- en/of lifthuis - en/of het is in potentie mogelijk een nieuwe trap/lift toe te voegen en bestaande te hergebruiken </t>
  </si>
  <si>
    <t>2. Gebouw verdeeld in vleugels met centraal trappen- en/of lifthuis - en/of het is in beperkte mate mogelijk nieuwe trappen/liften toe te voegen en bestaande te hergebruiken</t>
  </si>
  <si>
    <t>3. Elke vleugel heeft een centraal trappen- en/of lifthuis - en/of nieuwe trappen/liften zijn betrekkelijk eenvoudig toe te voegen met hergebruik van bestaande</t>
  </si>
  <si>
    <t>T</t>
  </si>
  <si>
    <t>6. Positie entree en kern (trap en/of lift) in het gebouw</t>
  </si>
  <si>
    <t>D12</t>
  </si>
  <si>
    <t xml:space="preserve">Multifunctioneel gebruik gebouw of woning/unit in de tijd
</t>
  </si>
  <si>
    <t>Kan het gebouw of de woning/unit in de huidige situatie, zonder aanpassingen, meerdere functie-wijzigingen mogelijk maken?</t>
  </si>
  <si>
    <t>Belangrijk. Naarmate een gebouw of woning/unit meer functie-wijzigingen kan huisvesten, neemt het adaptief vermogen toe.</t>
  </si>
  <si>
    <t>Alleen voor één specifieke functie geschikt (kantoren, of wonen, of zorg, of … ).</t>
  </si>
  <si>
    <t>Geschikt voor twee functies.</t>
  </si>
  <si>
    <t>Geschikt voor drie functies.</t>
  </si>
  <si>
    <t>Geschikt voor meer dan drie functies (zowel geschikt voor wonen, kantoren, zorg en commercie).</t>
  </si>
  <si>
    <t>F</t>
  </si>
  <si>
    <t>D13</t>
  </si>
  <si>
    <t>Dragende vloeren</t>
  </si>
  <si>
    <t>Op welke wijze zijn de dragende vloeren samengesteld?</t>
  </si>
  <si>
    <t>Belangrijk. Naarmate dragende vloeren zijn samengesteld uit prefab/demontabele delen, neemt de verkavelbaarheid, herindeelbaarheid en transformatiemogelijkheden toe. Breedplaatvloeren staan bijvoorbeeld achteraf de plaatsing van een schacht toe.</t>
  </si>
  <si>
    <t>Volledig monoliet vloeren.</t>
  </si>
  <si>
    <t>Monoliet vloeren met demontabele zones.</t>
  </si>
  <si>
    <t>Gesegmenteerde vloeren met demontabele afwerklaag.</t>
  </si>
  <si>
    <t>(Prefab) demontabele vloeren.</t>
  </si>
  <si>
    <t>D14</t>
  </si>
  <si>
    <t>5.2.3</t>
  </si>
  <si>
    <t xml:space="preserve">1. Mogelijkheid tot indeling volgens een bepaalde stramienmaat (diepte) van de kolomplaatsing tussen de buitengevels. Hier wordt nog een stramienmaat toegevoegd. </t>
  </si>
  <si>
    <t>A01</t>
  </si>
  <si>
    <t xml:space="preserve">Utilitaire functie: afstootbaar deel van gebouw, horizontaal of verticaal, of afstootbare gebruikersunit
</t>
  </si>
  <si>
    <t>Aanvullend</t>
  </si>
  <si>
    <t xml:space="preserve">Afstootbaar deel van gebouw horizontaal of verticaal, of afstootbare gebruikersunit
</t>
  </si>
  <si>
    <t xml:space="preserve">Aanvullend. Wanneer een deel van het gebouw kan worden afgestoten (verhuurd/gesloopt) neemt de afstootbaarheid toe. </t>
  </si>
  <si>
    <t>Nee.</t>
  </si>
  <si>
    <t>Afstoting van een deel van een unit is zeer beperkt mogelijk voor enkele units in het gebouw.</t>
  </si>
  <si>
    <t>Afstoting van een deel van een unit is alleen mogelijk bij een algemene herverkaveling van alle/meerdere units</t>
  </si>
  <si>
    <t>Het individueel afstoten van een deel van een unit is eenvoudig te realiseren, zonder dat andere units daar hinder van ondervinden (toepassing zonemargesystemen).</t>
  </si>
  <si>
    <t>5.2.5</t>
  </si>
  <si>
    <t>A02</t>
  </si>
  <si>
    <t>Aanvullend. Naarmate de gebouwvorm meer gelijkzijdig/regelmatig is, is het makkelijker te herverkavelen en herindelen.</t>
  </si>
  <si>
    <t>8. Mogelijkheid tot verdeling van de oppervlakte in units van de gnoemde grootte</t>
  </si>
  <si>
    <t>A03</t>
  </si>
  <si>
    <t>In hoeverre is de unit zelfstandig m.b.t. het aantal genoemde voorzieningen (pantry, meterkasten, installatie, sanitair, kitchenette)?</t>
  </si>
  <si>
    <t>Hoe meer voorzieningen per unit hoe zelfstandiger de unit kan functioneren tov andere units.</t>
  </si>
  <si>
    <t>Geen voorziening aanwezig</t>
  </si>
  <si>
    <t>Een tot twee voorzieningen aanwezig</t>
  </si>
  <si>
    <t>Drie tot vier voorzieningen aanwezig</t>
  </si>
  <si>
    <t>Vier of meer voorzieningen aanwezig</t>
  </si>
  <si>
    <t>9. Aanwezigheid van voorzieningen per unit: pantry, meterkast, sanitair.</t>
  </si>
  <si>
    <t>A04</t>
  </si>
  <si>
    <t>Naarmate meer ramen zijn te openen, zijn ook snelle aanpassingen van inrichting en kwaliteit mogelijk.</t>
  </si>
  <si>
    <t>Geen of &lt; 10%</t>
  </si>
  <si>
    <t>10 - 30%</t>
  </si>
  <si>
    <t>30 - 80%</t>
  </si>
  <si>
    <t>80 - 100%</t>
  </si>
  <si>
    <t>A05</t>
  </si>
  <si>
    <t>Demontabele gevel</t>
  </si>
  <si>
    <t>In hoeverre kunnen bij transformatie gevelcomponenten worden gedemonteerd?</t>
  </si>
  <si>
    <t>De herverkavelbaarheid, herindeelbaarheid, transformeerbaarheid of hergebruiksmogelijkheden worden groter als gevelcomponenten demonteerbaar zijn.</t>
  </si>
  <si>
    <t>Gevelcomponenten zijn niet of nauwelijks te demonteren en dienen volledig gesloopt en verwijderd te worden (&lt;20%)</t>
  </si>
  <si>
    <t>Een klein deel van de gevelcomponenten is te demonteren (tussen 20 en 50%)</t>
  </si>
  <si>
    <t>Een groot deel van de gevelcomponenten kan gedemonteerd worden (tussen 50 en 90%)</t>
  </si>
  <si>
    <t>Alle gevelcomponenten zijn nagenoeg volledig demonteerbaar &gt; 90%)</t>
  </si>
  <si>
    <t>A06</t>
  </si>
  <si>
    <t xml:space="preserve">Aanpasbaarheid gevel (-componenten)
</t>
  </si>
  <si>
    <t>In hoeverre kunnen bij transformatie de bestaande componenten in de gevel van het gebouw behouden blijven of aangepast en blijvend worden gebruikt?</t>
  </si>
  <si>
    <t>Als de componenten behouden kunnen blijven en hergebruikt kunnen worden bij transformatie, dan kan beter tegemoet worden gekomen aan eisen m.b.t. wijzigen van de kwaliteit van een gebouw zonder overbodig verlies aan aanwezige  materialen-/ gevelcomponenten.</t>
  </si>
  <si>
    <t>Niet mogelijk zonder zeer ingrijpende aanpassingen aan-/verlies van de overige gevel componentenof vanwege monumentenstatus.</t>
  </si>
  <si>
    <t>Beperkt mogelijk met ingrijpende aanpassingen aan de overige gevel componenten.</t>
  </si>
  <si>
    <t>Beperkt mogelijk met eenvoudige aanpassingen aan de overige gevel.</t>
  </si>
  <si>
    <t>Goed mogelijk zonder ingrijpende aanpassingen aan de overige gevel componenten.</t>
  </si>
  <si>
    <t>A07</t>
  </si>
  <si>
    <t>Mogelijkheid balkons aan gevel</t>
  </si>
  <si>
    <t>In hoeverre kunnen balkons of andere buitenruimten aangebracht worden aan de gevel?</t>
  </si>
  <si>
    <t>Als op eenvoudige wijze balkons kunnen worden aangebracht, kan het gebouw makkelijk kwalitatief worden gewijzigd.</t>
  </si>
  <si>
    <t>Niet mogelijk zonder zeer ingrijpende verbouwingen of vanwege monumentenstatus.</t>
  </si>
  <si>
    <t>Beperkt mogelijk met ingrijpende verbouwingen.</t>
  </si>
  <si>
    <t>Beperkt mogelijk met eenvoudige verbouwingen.</t>
  </si>
  <si>
    <t>Goed mogelijk zonder ingrijpende verbouwingen.</t>
  </si>
  <si>
    <t>A08</t>
  </si>
  <si>
    <t>Verticale uitbreiding: ontsluiting</t>
  </si>
  <si>
    <t>Kunnen verticale gebouwontsluitingen (liften en/of trappen) eenvoudig verlengd worden?</t>
  </si>
  <si>
    <t>Als de bestaande lift/trapschachten  makkelijk verticaal kunnen worden uitgebreid met nieuwe bouwlagen voor functies neemt de herbestemmingsmogelijkheid en verticale uitbreidbaarheid toe.</t>
  </si>
  <si>
    <t>Lift/trapschacht kan niet verticaal doorgevoerd worden zonder ingrijpende en kostbare maatregelen.</t>
  </si>
  <si>
    <t>Lift/trapschacht kan moeilijk verlengd worden.</t>
  </si>
  <si>
    <t>Lift/trapschacht kan eenvoudig verlengd worden zonder ingrijpende en kostbare maatregelen.</t>
  </si>
  <si>
    <t xml:space="preserve">Lift/trapschacht is lang genoeg; een verlenging is niet nodig. </t>
  </si>
  <si>
    <t>Type adaptiviteit</t>
  </si>
  <si>
    <t>Onderscheid draagconstructie en installaties (gebruiksdynamiek)</t>
  </si>
  <si>
    <t>In welke mate zijn de draagconstructie  en installatiecomponenten in de unit/woning gescheiden van elkaar uitgevoerd?</t>
  </si>
  <si>
    <t>Zeer belangrijk. Als de draagconstructie en installaties niet verweven zijn, kan de unit verschillend worden ingedeeld.</t>
  </si>
  <si>
    <t>Dit is &lt;10% van een unit/woning</t>
  </si>
  <si>
    <t xml:space="preserve">Dit is 10 - 50% van een unit/woning </t>
  </si>
  <si>
    <t xml:space="preserve">Dit is 50 - 80% van een unit/woning </t>
  </si>
  <si>
    <t>Dit is &gt; 80% van een unit/woning</t>
  </si>
  <si>
    <t>Onderscheid draagconstructie en installaties (herbestemmingsdynamiek)</t>
  </si>
  <si>
    <t xml:space="preserve">Zeer belangrijk. Als de draagconstructie en installaties niet verweven zijn, kan het gebouw verschillend worden ingedeeld. </t>
  </si>
  <si>
    <t xml:space="preserve">Dit is &lt;10% van het gebouw </t>
  </si>
  <si>
    <t xml:space="preserve">Dit is 10 - 30% van het gebouw </t>
  </si>
  <si>
    <t xml:space="preserve">Dit is 30 - 50% van het gebouw </t>
  </si>
  <si>
    <t>Dit is &gt; 50% van het gebouw</t>
  </si>
  <si>
    <t>In welke mate zijn de draagconstructie  en installatiecomponenten in het gebouw gescheiden van elkaar uitgevoerd?</t>
  </si>
  <si>
    <t>Overmaat gebouwoppervlak</t>
  </si>
  <si>
    <t>Overmaat woning</t>
  </si>
  <si>
    <t xml:space="preserve">Belangrijk. Naarmate er meer ruimte/vloeroppervlak beschikbaar is (b.v. zoneringssysteem met margeruimtes) dan neemt de herverkavelbaarheid, herindeelbaarheid en herbestemmingsmogelijkheid t.b.v. toekomstige wijzigingen toe. </t>
  </si>
  <si>
    <t>Is de dimensionering van de woning, zodat hiermee meerdere indelingen van de woning mogelijk zijn?</t>
  </si>
  <si>
    <t>Met een grote ingreep zijn meerdere indelingen mogelijk</t>
  </si>
  <si>
    <t>Met het plaatsen van een extra wand, kan een extra (slaap)kamer worden gecreeerd.</t>
  </si>
  <si>
    <t xml:space="preserve"> Met het plaatsen van een of twee extra wanden, kunnen twee extra (slaap)kamers worden gecreeerd.</t>
  </si>
  <si>
    <t>1.	Percentages worden bepaald aan de hand van het GO die van de installatie (componenten) afhankelijk zijn
2.	Onder dragende elementen wordt zowel de draagconstructie als de vloeren en gevel verstaan.
3.	Gescheiden betekent: losmaakbaar van elkaar uitgevoerd
4.	Afhankelijk van betekent:  de  installaties die nodig zijn voor binnenklimaat en elektronische installaties in een ruimte. 
Indien 1 van de distributiekanalen of leidingen van deze installaties is verweven met de draagconstructie, wordt het oppervlak van deze ruimte als niet gescheiden beoordeeld.</t>
  </si>
  <si>
    <t>4. Uitstekend</t>
  </si>
  <si>
    <t>Toelichting criteria</t>
  </si>
  <si>
    <t>Invloed</t>
  </si>
  <si>
    <t>Legenda</t>
  </si>
  <si>
    <t>1.	Percentages worden bepaald aan de hand van het GO  die van de installatie (componenten) afhankelijk zijn
2.	Onder dragende elementen wordt zowel de draagconstructie als de vloeren en gevel verstaan. 
3.	Gescheiden betekent: losmaakbaar van elkaar uitgevoerd
4.	Afhankelijk van betekent:  de  installaties die nodig zijn voor binnenklimaat en elektronische installaties in een ruimte. 
Indien 1 van de distributiekanalen of leidingen van deze installaties is verweven met de draagconstructie, wordt het oppervlak van deze ruimte als niet gescheiden beoordeeld.</t>
  </si>
  <si>
    <t>1.	Percentages worden bepaald aan de hand van het GO
2.	Op basis van het PvE is de vraag voor het aantal gebruikers bepaald. De overdimensionering wordt vervolgens bepaald ten opzichte van de standaard bezettingsgraad uit het bouwbesluit.</t>
  </si>
  <si>
    <t>1.	Onder grote ingreep wordt verstaan dat er wanden moeten worden gesloopt.
2.	Een extra kamer voldoet aan de eisen van het bouwbesluit voor een bedruimte</t>
  </si>
  <si>
    <t>1.	De vrije verdiepingshoogte is de hoogte tussen de bovenkant van een afgewerkte vloer en de onderkant van het laagste, daarboven gelegen constructiedeel. 
2.	Minimaal 95% van het GO moet voldoen.</t>
  </si>
  <si>
    <t>1.	Percentages worden bepaald aan de hand van het GO van het huidige gebouw ten opzichte van de mogelijke uitbreiding.
2.	Voor horizontale uitbreiding is terrein beschikbaar waar deze uitbreiding zou kunnen plaats vinden. 
3.	Voor verticale uitbreiding is de hoofddraagstructuur geschikt voor het plaatsen van een of meerdere verdiepingen.</t>
  </si>
  <si>
    <t>1.	Onder goed en eenvoudig instelbaar wordt verstaan dat de installaties worden aangestuurd op afstand en dat er geen fysieke werkzaamheden hoeven plaats te vinden om de installaties te regelen. 
2.	Indien alleen E of W goed en eenvoudig in te stellen zijn, kan worden gekozen voor de antwoordoptie deels.</t>
  </si>
  <si>
    <t>1.	Op basis van het installatie ontwerp (E &amp; W) is de minimale ruimte bouwkundige ruimte voor distributie van E, W en ECT bepaald. 
2.	Op basis van de plek met de kleinste doorvoermogelijkheid wordt het percentage bepaald.
3.	Percentage wordt bepaald op basis van aantal doorvoeren.</t>
  </si>
  <si>
    <t>1.	Componenten zijn slecht bereikbaar indien deze onderdeel zijn van de draagconstructie en bijvoorbeeld zijn ingestort in het beton. 
2.	Indien een aanzienlijk deel (&gt;40% van het aantal) van de componenten goed bereikbaar is, kan gekozen worden voor de antwoordoptie ‘deels’.</t>
  </si>
  <si>
    <t>1.	Oppervlakten worden bepaald in GO.
2.	Bij het bepalen van de herkavelbaarheid wordt er vanuit gegaan dat de draagconstructie niet wordt aangepast.</t>
  </si>
  <si>
    <t>1. De daglichtequivalent is bepaald conform NEN 2057.</t>
  </si>
  <si>
    <t xml:space="preserve">1. Trap en of lifthuis is de centrale plek wat toegang geeft tot de verschillende verdiepingen van het gebouw. </t>
  </si>
  <si>
    <t xml:space="preserve">1.	Met minimale ingrepen is het gebouw of de unit geschikt te maken voor verschillende functies. 
2.	Bij een gebouw kunnen de functies ook op verschillende plaatsen in het gebouw plaats hebben
3.	De draagconstructie is geschikt voor de verschillende functies.  </t>
  </si>
  <si>
    <t>1.	Met demontabele zones wordt bedoeld dat er in de vloer rekening is gehouden dat een deel van het vloerveld kan worden verwijderd. 
2.	Een demontabele vloer kan zonder hak en breekwerk worden gedemonteerd.</t>
  </si>
  <si>
    <t>1.	Voor de bepaling zijn toiletruimten, liften en trappenhuizen niet van toepassing.
2.	De vloervelden dienen een lengte breedte verhouding te hebben van maximaal 1:3.</t>
  </si>
  <si>
    <t xml:space="preserve">1. Het eenvoudig afstoten van een unit/woningen is mogelijk als deze zijn aangesloten op een centrale entree of zijn voorzien van een eigen entree. </t>
  </si>
  <si>
    <t>1.	80% van de totale vloeroppervlakte (GO) voldoet aan het gestelde criterium.
2.	Units zijn voorzien van een eigen entree en kunnen als afzonderlijke ruimte worden gebruikt.</t>
  </si>
  <si>
    <t>1.	Onder voorzieningen wordt verstaan, pantry, meterkast, installatie, sanitair en kitchenette. 
2.	80% van de totale vloeroppervlakte (GO) voldoet aan het gestelde criterium.</t>
  </si>
  <si>
    <t>1.	Percentage worden bepaald op de strekkende meters gevel per verdieping.</t>
  </si>
  <si>
    <t>1. Onder ingrijpende aanpassingen wordt verstaan dat er hak en breekwerk nodig om de aanpassing te realiseren. Bij een eenvoudige aanpassing is hak en breekwerk niet nodig.</t>
  </si>
  <si>
    <t xml:space="preserve">1.	Bij ingrijpende verbouwingen zijn aanpassingen in de draagstructuur nodig. </t>
  </si>
  <si>
    <t>1. Bij ingrijpende maatregelen zijn aanpassingen in de draagstructuur nodig.</t>
  </si>
  <si>
    <t>Aanvullende infprmatie/definities</t>
  </si>
  <si>
    <t xml:space="preserve">Indien inbouwcomponenten verbonden zijn met dragende elementen wordt de flexibiliteit van de indeling beperkt. Als bijvoorbeeld leidingen of kanalen zijn ingestort in een betonnen vloer, kunnen deze lastiger worden aangepast dan wanneer deze hier geen onlosmakelijk onderdeel van zijn. </t>
  </si>
  <si>
    <t>Indien inbouwcomponenten verbonden zijn met dragende elementen wordt de flexibiliteit van de indeling beperkt. Als bijvoorbeeld leidingen of kanalen zijn ingestort in een betonnen vloer, kunnen deze lastiger worden aangepast dan wanneer deze hier geen onlosmakelijk onderdeel van zijn.</t>
  </si>
  <si>
    <t xml:space="preserve">Gereserveerde bouwkundige ruimte voor installaties
Hieronder wordt verstaan de ruimte die aanwezig is in schachten, kabelgoten en overige voor distributie van W, E en ECT gereserveerde ruimten. </t>
  </si>
  <si>
    <t>GO: gebruiksoppervlak, vastgesteld conform NEN 2580.</t>
  </si>
  <si>
    <t>Vloeren van beton:
Een vloer van beton kan ook voldoen aan de antwoordopties, maar daar zitten wel beperkingen aan. Een breedplaatvloeren staat bijvoorbeeld achteraf de plaatsing van een schacht toe.</t>
  </si>
  <si>
    <t>Installatiecomponenten
Onder installatiecomponenten worden zowel de gebouwgebonden elementen zoals luchtbehandling, warmte- en koudeopwekking alsmede afgifte punten zoals inblaasunits en verlichting bedoeld.</t>
  </si>
  <si>
    <t>Een vrij vloerveld maakt de herindeelbaarheid van een object makkelijker. Voor de bepaling van de oppervlakte is uitgegaan van een verhouding van 5,4 x 5,4 (29 m2) en 8,1x8,1 (65m2). De herindeelbaarheid vermindert bij andere vormverhoudingen. Daarom is een maximale verhouding opgenomen.</t>
  </si>
  <si>
    <t>Niet van toepassing voor woningen.</t>
  </si>
  <si>
    <t>Andere buitenruimten. Dit kunnen bijvoorbeeld tuinen of een inpandig balkon zijn.</t>
  </si>
  <si>
    <t>Wijziging inrich-ting/afwerking</t>
  </si>
  <si>
    <t>© DGBC &amp; W/E adviseurs. december 2021</t>
  </si>
  <si>
    <t>1.1</t>
  </si>
  <si>
    <t>1.2</t>
  </si>
  <si>
    <t>5.1</t>
  </si>
  <si>
    <t>Overzicht en kenmerken indicatoren</t>
  </si>
  <si>
    <t>Wijziging in voor-zieningen/installaties</t>
  </si>
  <si>
    <t>Aanpasbare kwaliteit</t>
  </si>
  <si>
    <t>Prestatieniveaus</t>
  </si>
  <si>
    <t>Extra kenmerken</t>
  </si>
  <si>
    <r>
      <rPr>
        <b/>
        <sz val="8"/>
        <rFont val="Arial"/>
        <family val="2"/>
      </rPr>
      <t>Invloed</t>
    </r>
    <r>
      <rPr>
        <sz val="8"/>
        <rFont val="Arial"/>
        <family val="2"/>
      </rPr>
      <t xml:space="preserve">
B -&gt; Bouwkundig
D -&gt; Draagstructuur
F -&gt; Functiewisseling
I -&gt; Installatie
T -&gt; Toegankelijkheid
U -&gt; Uitbreidbaarheid</t>
    </r>
  </si>
  <si>
    <r>
      <rPr>
        <b/>
        <sz val="8"/>
        <rFont val="Arial"/>
        <family val="2"/>
      </rPr>
      <t>Belang</t>
    </r>
    <r>
      <rPr>
        <sz val="8"/>
        <rFont val="Arial"/>
        <family val="2"/>
      </rPr>
      <t xml:space="preserve">
1 -&gt; Minst belangrijk
2 -&gt; Belangrijk
3 -&gt; Meest belangrijk</t>
    </r>
  </si>
  <si>
    <t>1.	Als een aanzienlijk deel van de wanden (&gt;20% van de strekkende meters wand) een dragende functie heeft, moet worden gekozen voor antwoordoptie 1.
2.	Binnenwanden die afbreekbaar zijn, hebben geen dragende functie. 
3.	Binnenwanden zijn verplaatsbaar indien ze zonder dat materialen verloren gaan op een andere plaats dezelfde functie kunnen vervullen. 
4.	Binnenwanden zijn verplaatsbaar indien de vloerbelasting die toelaat.</t>
  </si>
  <si>
    <t>Belangrijk Hoe minder onderdelen van de draagconstructie ‘’in de weg’’ staan, des te groter de verkavelbaarheid en herindeelbaarheid van een gebouw.</t>
  </si>
  <si>
    <t xml:space="preserve">Zijn er per kern genoeg trappen en liften aanwezig in het gebouw of is het mogelijk nieuwe trappen en/of liften toe te voegen en bestaande te hergebruiken? </t>
  </si>
  <si>
    <t>Mogelijkheid tot indeling middels een vrij indeelbare plattegrond.</t>
  </si>
  <si>
    <t>Belangrijk. Naarmate de draagstructuur uit onafhankelijke modules bestaat ,wordt de herindeelbaarheid van een deel van het gebouw groter.</t>
  </si>
  <si>
    <t>Wat is de grootte van het vloerveld, wat niet wordt onderbroken door elementen van de draagconstructie?</t>
  </si>
  <si>
    <t>&lt; 29 m2 GO</t>
  </si>
  <si>
    <t>29 m2 GO – 65 m2 GO</t>
  </si>
  <si>
    <t xml:space="preserve">Er zijn geen obstakels in het vloerveld </t>
  </si>
  <si>
    <t>Er zijn obstakels in het vloerveld, maar de grootte &gt; 65 m2 GO</t>
  </si>
  <si>
    <t>Aanvullend. Hoe fijnmaziger de units verdeeld of verplaatst kunnen worden, des te meer mogelijkheden er zijn het gebouw aan te passen.</t>
  </si>
  <si>
    <t>Groter dan 600 m2 GO</t>
  </si>
  <si>
    <t>Tussen 400 en 600 m2 GO</t>
  </si>
  <si>
    <t>Tussen 200 en 400 m2 GO</t>
  </si>
  <si>
    <t>Minder dan 200 m2 GO</t>
  </si>
  <si>
    <t>Zijn er per 3,6 strekkende meter gevel per verdieping te openen ramen?</t>
  </si>
  <si>
    <t>1. Percentage wordt bepaald: a/b x 100%
a.	Het aantal  geveldelen van 3,6 meter met te openen ramen.
b.	Totaal aantal geveldelen van 3,6 meter.</t>
  </si>
  <si>
    <t>Utilitaire functie: mogelijkheid tot verdeling van de oppervlakte in units van de genoemde grootte.</t>
  </si>
  <si>
    <t>Utilitaire functie: zelfstandigheid voorzieningen gebruiksunit.</t>
  </si>
  <si>
    <t>Utilitaire functie: te openen ramen.</t>
  </si>
  <si>
    <t>Hoe groot bedraagt de minimale vrije verdiepingshoogte?</t>
  </si>
  <si>
    <t>minimum = 0.00 / maximum = 4.00</t>
  </si>
  <si>
    <t>ADAPTIEF VERMOGEN (benut aandeel)</t>
  </si>
  <si>
    <t>minimum = 0% / maximum = 100%</t>
  </si>
  <si>
    <t>© W/E adviseurs, mei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</si>
</sst>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8" x14ac:knownFonts="1">
    <font>
      <sz val="10"/>
      <color theme="1"/>
      <name val="Ubuntu"/>
      <family val="2"/>
    </font>
    <font>
      <sz val="10"/>
      <color theme="1"/>
      <name val="Ubuntu"/>
      <family val="2"/>
    </font>
    <font>
      <b/>
      <sz val="9"/>
      <color theme="0"/>
      <name val="Ubuntu"/>
      <family val="2"/>
    </font>
    <font>
      <sz val="9"/>
      <color theme="0"/>
      <name val="Ubuntu"/>
      <family val="2"/>
    </font>
    <font>
      <sz val="9"/>
      <color theme="1"/>
      <name val="Ubuntu"/>
      <family val="2"/>
    </font>
    <font>
      <sz val="9"/>
      <color theme="8" tint="-0.499984740745262"/>
      <name val="Ubuntu"/>
      <family val="2"/>
    </font>
    <font>
      <sz val="8"/>
      <name val="Ubuntu"/>
      <family val="2"/>
    </font>
    <font>
      <sz val="9"/>
      <color rgb="FFFF0000"/>
      <name val="Ubuntu"/>
      <family val="2"/>
    </font>
    <font>
      <sz val="9"/>
      <color rgb="FF684D00"/>
      <name val="Ubuntu"/>
      <family val="2"/>
    </font>
    <font>
      <b/>
      <sz val="9"/>
      <color theme="1"/>
      <name val="Ubuntu"/>
      <family val="2"/>
    </font>
    <font>
      <sz val="9"/>
      <color theme="9" tint="-0.499984740745262"/>
      <name val="Ubuntu"/>
      <family val="2"/>
    </font>
    <font>
      <sz val="9"/>
      <name val="Ubuntu"/>
      <family val="2"/>
    </font>
    <font>
      <sz val="9"/>
      <color theme="7" tint="-0.499984740745262"/>
      <name val="Ubuntu"/>
      <family val="2"/>
    </font>
    <font>
      <b/>
      <sz val="12"/>
      <color theme="0"/>
      <name val="Ubuntu"/>
      <family val="2"/>
    </font>
    <font>
      <sz val="12"/>
      <color theme="1"/>
      <name val="Ubuntu"/>
      <family val="2"/>
    </font>
    <font>
      <sz val="12"/>
      <color theme="0"/>
      <name val="Ubuntu"/>
      <family val="2"/>
    </font>
    <font>
      <sz val="9"/>
      <color theme="5" tint="-0.499984740745262"/>
      <name val="Ubuntu"/>
      <family val="2"/>
    </font>
    <font>
      <sz val="10"/>
      <color theme="0"/>
      <name val="Ubuntu"/>
      <family val="2"/>
    </font>
    <font>
      <sz val="12"/>
      <color rgb="FFFF0000"/>
      <name val="Ubuntu"/>
      <family val="2"/>
    </font>
    <font>
      <b/>
      <sz val="9"/>
      <color rgb="FFFF0000"/>
      <name val="Ubuntu"/>
      <family val="2"/>
    </font>
    <font>
      <sz val="7"/>
      <color theme="0"/>
      <name val="Ubuntu"/>
      <family val="2"/>
    </font>
    <font>
      <sz val="8"/>
      <name val="Arial"/>
      <family val="2"/>
    </font>
    <font>
      <b/>
      <sz val="8"/>
      <name val="Arial"/>
      <family val="2"/>
    </font>
    <font>
      <b/>
      <sz val="8"/>
      <color theme="0"/>
      <name val="Arial"/>
      <family val="2"/>
    </font>
    <font>
      <sz val="8"/>
      <color theme="0"/>
      <name val="Arial"/>
      <family val="2"/>
    </font>
    <font>
      <b/>
      <sz val="11"/>
      <color theme="0"/>
      <name val="Arial"/>
      <family val="2"/>
    </font>
    <font>
      <sz val="8"/>
      <color theme="0"/>
      <name val="Ubuntu"/>
      <family val="2"/>
    </font>
    <font>
      <b/>
      <sz val="10"/>
      <color theme="0"/>
      <name val="Ubuntu"/>
      <family val="2"/>
    </font>
  </fonts>
  <fills count="23">
    <fill>
      <patternFill patternType="none"/>
    </fill>
    <fill>
      <patternFill patternType="gray125"/>
    </fill>
    <fill>
      <patternFill patternType="solid">
        <fgColor theme="8" tint="-0.499984740745262"/>
        <bgColor indexed="64"/>
      </patternFill>
    </fill>
    <fill>
      <patternFill patternType="solid">
        <fgColor theme="0"/>
        <bgColor indexed="64"/>
      </patternFill>
    </fill>
    <fill>
      <patternFill patternType="solid">
        <fgColor theme="8" tint="-0.249977111117893"/>
        <bgColor indexed="64"/>
      </patternFill>
    </fill>
    <fill>
      <patternFill patternType="solid">
        <fgColor theme="9" tint="-0.499984740745262"/>
        <bgColor indexed="64"/>
      </patternFill>
    </fill>
    <fill>
      <patternFill patternType="solid">
        <fgColor theme="5" tint="-0.49998474074526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EFF6FB"/>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rgb="FFF9FBF7"/>
        <bgColor indexed="64"/>
      </patternFill>
    </fill>
    <fill>
      <patternFill patternType="solid">
        <fgColor rgb="FF990000"/>
        <bgColor indexed="64"/>
      </patternFill>
    </fill>
    <fill>
      <patternFill patternType="solid">
        <fgColor theme="9"/>
        <bgColor indexed="64"/>
      </patternFill>
    </fill>
    <fill>
      <patternFill patternType="solid">
        <fgColor theme="8" tint="0.59999389629810485"/>
        <bgColor indexed="64"/>
      </patternFill>
    </fill>
    <fill>
      <patternFill patternType="solid">
        <fgColor theme="8"/>
        <bgColor indexed="64"/>
      </patternFill>
    </fill>
    <fill>
      <patternFill patternType="solid">
        <fgColor rgb="FFFF0000"/>
        <bgColor indexed="64"/>
      </patternFill>
    </fill>
    <fill>
      <patternFill patternType="solid">
        <fgColor theme="7" tint="0.59999389629810485"/>
        <bgColor indexed="64"/>
      </patternFill>
    </fill>
  </fills>
  <borders count="140">
    <border>
      <left/>
      <right/>
      <top/>
      <bottom/>
      <diagonal/>
    </border>
    <border>
      <left/>
      <right/>
      <top style="thin">
        <color theme="8" tint="-0.499984740745262"/>
      </top>
      <bottom style="thin">
        <color theme="8" tint="-0.499984740745262"/>
      </bottom>
      <diagonal/>
    </border>
    <border>
      <left style="thin">
        <color theme="8" tint="-0.499984740745262"/>
      </left>
      <right/>
      <top style="thin">
        <color theme="8" tint="-0.499984740745262"/>
      </top>
      <bottom/>
      <diagonal/>
    </border>
    <border>
      <left/>
      <right/>
      <top style="thin">
        <color theme="8" tint="-0.499984740745262"/>
      </top>
      <bottom/>
      <diagonal/>
    </border>
    <border>
      <left style="thin">
        <color theme="8" tint="-0.499984740745262"/>
      </left>
      <right/>
      <top/>
      <bottom/>
      <diagonal/>
    </border>
    <border>
      <left style="thin">
        <color theme="8" tint="-0.499984740745262"/>
      </left>
      <right/>
      <top/>
      <bottom style="thin">
        <color theme="8" tint="-0.499984740745262"/>
      </bottom>
      <diagonal/>
    </border>
    <border>
      <left/>
      <right/>
      <top/>
      <bottom style="thin">
        <color theme="8" tint="-0.499984740745262"/>
      </bottom>
      <diagonal/>
    </border>
    <border>
      <left style="thin">
        <color theme="8" tint="-0.24994659260841701"/>
      </left>
      <right/>
      <top/>
      <bottom/>
      <diagonal/>
    </border>
    <border>
      <left style="medium">
        <color theme="5" tint="-0.499984740745262"/>
      </left>
      <right style="medium">
        <color theme="5" tint="-0.49998474074526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theme="5" tint="-0.499984740745262"/>
      </right>
      <top/>
      <bottom/>
      <diagonal/>
    </border>
    <border>
      <left style="thin">
        <color theme="8" tint="-0.24994659260841701"/>
      </left>
      <right style="thin">
        <color theme="8" tint="-0.24994659260841701"/>
      </right>
      <top/>
      <bottom/>
      <diagonal/>
    </border>
    <border>
      <left style="thin">
        <color theme="8" tint="-0.24994659260841701"/>
      </left>
      <right style="thin">
        <color theme="9" tint="0.59996337778862885"/>
      </right>
      <top/>
      <bottom/>
      <diagonal/>
    </border>
    <border>
      <left/>
      <right/>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theme="9" tint="-0.499984740745262"/>
      </left>
      <right style="hair">
        <color theme="9" tint="-0.499984740745262"/>
      </right>
      <top/>
      <bottom style="thin">
        <color indexed="64"/>
      </bottom>
      <diagonal/>
    </border>
    <border>
      <left style="hair">
        <color theme="9" tint="-0.499984740745262"/>
      </left>
      <right style="hair">
        <color theme="9" tint="-0.499984740745262"/>
      </right>
      <top/>
      <bottom style="thin">
        <color indexed="64"/>
      </bottom>
      <diagonal/>
    </border>
    <border>
      <left style="hair">
        <color theme="9" tint="-0.499984740745262"/>
      </left>
      <right style="thin">
        <color theme="9" tint="-0.499984740745262"/>
      </right>
      <top/>
      <bottom style="thin">
        <color indexed="64"/>
      </bottom>
      <diagonal/>
    </border>
    <border>
      <left style="thin">
        <color theme="9" tint="-0.499984740745262"/>
      </left>
      <right style="hair">
        <color theme="9" tint="-0.499984740745262"/>
      </right>
      <top style="thin">
        <color indexed="64"/>
      </top>
      <bottom style="thin">
        <color indexed="64"/>
      </bottom>
      <diagonal/>
    </border>
    <border>
      <left style="hair">
        <color theme="9" tint="-0.499984740745262"/>
      </left>
      <right style="hair">
        <color theme="9" tint="-0.499984740745262"/>
      </right>
      <top style="thin">
        <color indexed="64"/>
      </top>
      <bottom style="thin">
        <color indexed="64"/>
      </bottom>
      <diagonal/>
    </border>
    <border>
      <left style="hair">
        <color theme="9" tint="-0.499984740745262"/>
      </left>
      <right style="thin">
        <color theme="9" tint="-0.499984740745262"/>
      </right>
      <top style="thin">
        <color indexed="64"/>
      </top>
      <bottom style="thin">
        <color indexed="64"/>
      </bottom>
      <diagonal/>
    </border>
    <border>
      <left style="thin">
        <color theme="9" tint="-0.499984740745262"/>
      </left>
      <right style="hair">
        <color theme="9" tint="-0.499984740745262"/>
      </right>
      <top/>
      <bottom style="hair">
        <color indexed="64"/>
      </bottom>
      <diagonal/>
    </border>
    <border>
      <left style="hair">
        <color theme="9" tint="-0.499984740745262"/>
      </left>
      <right style="hair">
        <color theme="9" tint="-0.499984740745262"/>
      </right>
      <top/>
      <bottom style="hair">
        <color indexed="64"/>
      </bottom>
      <diagonal/>
    </border>
    <border>
      <left style="hair">
        <color theme="9" tint="-0.499984740745262"/>
      </left>
      <right style="thin">
        <color theme="9" tint="-0.499984740745262"/>
      </right>
      <top/>
      <bottom style="hair">
        <color indexed="64"/>
      </bottom>
      <diagonal/>
    </border>
    <border>
      <left style="thin">
        <color theme="9" tint="-0.499984740745262"/>
      </left>
      <right style="hair">
        <color theme="9" tint="-0.499984740745262"/>
      </right>
      <top/>
      <bottom/>
      <diagonal/>
    </border>
    <border>
      <left style="hair">
        <color theme="9" tint="-0.499984740745262"/>
      </left>
      <right style="hair">
        <color theme="9" tint="-0.499984740745262"/>
      </right>
      <top/>
      <bottom/>
      <diagonal/>
    </border>
    <border>
      <left style="hair">
        <color theme="9" tint="-0.499984740745262"/>
      </left>
      <right style="thin">
        <color theme="9" tint="-0.499984740745262"/>
      </right>
      <top/>
      <bottom/>
      <diagonal/>
    </border>
    <border>
      <left style="hair">
        <color theme="9" tint="-0.499984740745262"/>
      </left>
      <right style="hair">
        <color theme="9" tint="-0.499984740745262"/>
      </right>
      <top style="thin">
        <color indexed="64"/>
      </top>
      <bottom style="hair">
        <color indexed="64"/>
      </bottom>
      <diagonal/>
    </border>
    <border>
      <left style="hair">
        <color theme="9" tint="-0.499984740745262"/>
      </left>
      <right style="thin">
        <color theme="9" tint="-0.499984740745262"/>
      </right>
      <top style="thin">
        <color indexed="64"/>
      </top>
      <bottom style="hair">
        <color indexed="64"/>
      </bottom>
      <diagonal/>
    </border>
    <border>
      <left style="thin">
        <color theme="9" tint="-0.499984740745262"/>
      </left>
      <right style="hair">
        <color theme="9" tint="-0.499984740745262"/>
      </right>
      <top style="hair">
        <color indexed="64"/>
      </top>
      <bottom style="hair">
        <color indexed="64"/>
      </bottom>
      <diagonal/>
    </border>
    <border>
      <left style="hair">
        <color theme="9" tint="-0.499984740745262"/>
      </left>
      <right style="hair">
        <color theme="9" tint="-0.499984740745262"/>
      </right>
      <top style="hair">
        <color indexed="64"/>
      </top>
      <bottom style="hair">
        <color indexed="64"/>
      </bottom>
      <diagonal/>
    </border>
    <border>
      <left style="hair">
        <color theme="9" tint="-0.499984740745262"/>
      </left>
      <right style="thin">
        <color theme="9" tint="-0.499984740745262"/>
      </right>
      <top style="hair">
        <color indexed="64"/>
      </top>
      <bottom style="hair">
        <color indexed="64"/>
      </bottom>
      <diagonal/>
    </border>
    <border>
      <left style="thin">
        <color theme="9" tint="-0.499984740745262"/>
      </left>
      <right style="hair">
        <color theme="9" tint="-0.499984740745262"/>
      </right>
      <top/>
      <bottom style="thin">
        <color theme="9" tint="-0.499984740745262"/>
      </bottom>
      <diagonal/>
    </border>
    <border>
      <left style="hair">
        <color theme="9" tint="-0.499984740745262"/>
      </left>
      <right style="hair">
        <color theme="9" tint="-0.499984740745262"/>
      </right>
      <top/>
      <bottom style="thin">
        <color theme="9" tint="-0.499984740745262"/>
      </bottom>
      <diagonal/>
    </border>
    <border>
      <left style="hair">
        <color theme="9" tint="-0.499984740745262"/>
      </left>
      <right style="thin">
        <color theme="9" tint="-0.499984740745262"/>
      </right>
      <top/>
      <bottom style="thin">
        <color theme="9" tint="-0.499984740745262"/>
      </bottom>
      <diagonal/>
    </border>
    <border>
      <left style="thin">
        <color theme="8" tint="-0.499984740745262"/>
      </left>
      <right/>
      <top/>
      <bottom style="thin">
        <color theme="8" tint="0.59996337778862885"/>
      </bottom>
      <diagonal/>
    </border>
    <border>
      <left/>
      <right/>
      <top/>
      <bottom style="thin">
        <color theme="8" tint="0.59996337778862885"/>
      </bottom>
      <diagonal/>
    </border>
    <border>
      <left style="thin">
        <color theme="8" tint="-0.24994659260841701"/>
      </left>
      <right style="thin">
        <color theme="8" tint="-0.24994659260841701"/>
      </right>
      <top/>
      <bottom style="thin">
        <color theme="8" tint="0.59996337778862885"/>
      </bottom>
      <diagonal/>
    </border>
    <border>
      <left style="thin">
        <color theme="8" tint="-0.499984740745262"/>
      </left>
      <right/>
      <top style="thin">
        <color theme="8" tint="0.59996337778862885"/>
      </top>
      <bottom style="thin">
        <color theme="8" tint="0.59996337778862885"/>
      </bottom>
      <diagonal/>
    </border>
    <border>
      <left/>
      <right/>
      <top style="thin">
        <color theme="8" tint="0.59996337778862885"/>
      </top>
      <bottom style="thin">
        <color theme="8" tint="0.59996337778862885"/>
      </bottom>
      <diagonal/>
    </border>
    <border>
      <left style="thin">
        <color theme="8" tint="-0.499984740745262"/>
      </left>
      <right/>
      <top style="thin">
        <color theme="8" tint="0.59996337778862885"/>
      </top>
      <bottom/>
      <diagonal/>
    </border>
    <border>
      <left/>
      <right/>
      <top style="thin">
        <color theme="8" tint="0.59996337778862885"/>
      </top>
      <bottom/>
      <diagonal/>
    </border>
    <border>
      <left style="thin">
        <color theme="8" tint="-0.24994659260841701"/>
      </left>
      <right style="thin">
        <color theme="8" tint="-0.24994659260841701"/>
      </right>
      <top style="thin">
        <color theme="8" tint="0.59996337778862885"/>
      </top>
      <bottom/>
      <diagonal/>
    </border>
    <border>
      <left style="thin">
        <color theme="8" tint="-0.24994659260841701"/>
      </left>
      <right style="thin">
        <color theme="9" tint="0.59996337778862885"/>
      </right>
      <top/>
      <bottom style="thin">
        <color theme="9" tint="0.59996337778862885"/>
      </bottom>
      <diagonal/>
    </border>
    <border>
      <left style="thin">
        <color theme="8" tint="-0.24994659260841701"/>
      </left>
      <right style="thin">
        <color theme="9" tint="0.59996337778862885"/>
      </right>
      <top style="thin">
        <color theme="9" tint="0.59996337778862885"/>
      </top>
      <bottom style="thin">
        <color theme="9" tint="0.59996337778862885"/>
      </bottom>
      <diagonal/>
    </border>
    <border>
      <left style="thin">
        <color theme="8" tint="-0.24994659260841701"/>
      </left>
      <right style="thin">
        <color theme="9" tint="0.59996337778862885"/>
      </right>
      <top style="thin">
        <color theme="9" tint="0.59996337778862885"/>
      </top>
      <bottom/>
      <diagonal/>
    </border>
    <border>
      <left style="medium">
        <color theme="5" tint="-0.499984740745262"/>
      </left>
      <right style="medium">
        <color theme="5" tint="-0.499984740745262"/>
      </right>
      <top/>
      <bottom style="thin">
        <color theme="5" tint="0.59996337778862885"/>
      </bottom>
      <diagonal/>
    </border>
    <border>
      <left style="medium">
        <color theme="5" tint="-0.499984740745262"/>
      </left>
      <right style="medium">
        <color theme="5" tint="-0.499984740745262"/>
      </right>
      <top style="thin">
        <color theme="5" tint="0.59996337778862885"/>
      </top>
      <bottom style="thin">
        <color theme="5" tint="0.59996337778862885"/>
      </bottom>
      <diagonal/>
    </border>
    <border>
      <left style="medium">
        <color theme="5" tint="-0.499984740745262"/>
      </left>
      <right style="medium">
        <color theme="5" tint="-0.499984740745262"/>
      </right>
      <top style="thin">
        <color theme="5" tint="0.59996337778862885"/>
      </top>
      <bottom/>
      <diagonal/>
    </border>
    <border>
      <left style="thin">
        <color theme="8" tint="-0.499984740745262"/>
      </left>
      <right/>
      <top/>
      <bottom style="thin">
        <color theme="7" tint="0.79998168889431442"/>
      </bottom>
      <diagonal/>
    </border>
    <border>
      <left/>
      <right/>
      <top/>
      <bottom style="thin">
        <color theme="7" tint="0.79998168889431442"/>
      </bottom>
      <diagonal/>
    </border>
    <border>
      <left style="thin">
        <color theme="8" tint="-0.499984740745262"/>
      </left>
      <right/>
      <top style="thin">
        <color theme="7" tint="0.79998168889431442"/>
      </top>
      <bottom style="thin">
        <color theme="7" tint="0.79998168889431442"/>
      </bottom>
      <diagonal/>
    </border>
    <border>
      <left/>
      <right/>
      <top style="thin">
        <color theme="7" tint="0.79998168889431442"/>
      </top>
      <bottom style="thin">
        <color theme="7" tint="0.79998168889431442"/>
      </bottom>
      <diagonal/>
    </border>
    <border>
      <left/>
      <right style="thin">
        <color theme="7" tint="0.39994506668294322"/>
      </right>
      <top style="thin">
        <color theme="7" tint="0.79998168889431442"/>
      </top>
      <bottom style="thin">
        <color theme="7" tint="-0.499984740745262"/>
      </bottom>
      <diagonal/>
    </border>
    <border>
      <left style="thin">
        <color theme="8" tint="-0.499984740745262"/>
      </left>
      <right/>
      <top style="thin">
        <color theme="7" tint="-0.499984740745262"/>
      </top>
      <bottom style="thin">
        <color theme="7" tint="0.79998168889431442"/>
      </bottom>
      <diagonal/>
    </border>
    <border>
      <left/>
      <right/>
      <top style="thin">
        <color theme="7" tint="-0.499984740745262"/>
      </top>
      <bottom style="thin">
        <color theme="7" tint="0.79998168889431442"/>
      </bottom>
      <diagonal/>
    </border>
    <border>
      <left style="thin">
        <color theme="8" tint="-0.499984740745262"/>
      </left>
      <right/>
      <top style="thin">
        <color theme="7" tint="0.79998168889431442"/>
      </top>
      <bottom style="thin">
        <color theme="8" tint="-0.499984740745262"/>
      </bottom>
      <diagonal/>
    </border>
    <border>
      <left/>
      <right/>
      <top style="thin">
        <color theme="7" tint="0.79998168889431442"/>
      </top>
      <bottom style="thin">
        <color theme="8" tint="-0.499984740745262"/>
      </bottom>
      <diagonal/>
    </border>
    <border>
      <left style="thin">
        <color theme="7" tint="0.79998168889431442"/>
      </left>
      <right style="thin">
        <color theme="7" tint="0.79998168889431442"/>
      </right>
      <top style="thin">
        <color theme="7" tint="0.79998168889431442"/>
      </top>
      <bottom style="thin">
        <color theme="7" tint="0.79998168889431442"/>
      </bottom>
      <diagonal/>
    </border>
    <border>
      <left style="thin">
        <color theme="7" tint="0.79998168889431442"/>
      </left>
      <right style="medium">
        <color theme="5" tint="-0.499984740745262"/>
      </right>
      <top style="thin">
        <color theme="7" tint="0.79998168889431442"/>
      </top>
      <bottom style="thin">
        <color theme="7" tint="0.79998168889431442"/>
      </bottom>
      <diagonal/>
    </border>
    <border>
      <left style="thin">
        <color theme="7" tint="0.39994506668294322"/>
      </left>
      <right style="thin">
        <color theme="7" tint="0.79998168889431442"/>
      </right>
      <top style="thin">
        <color theme="7" tint="0.79998168889431442"/>
      </top>
      <bottom/>
      <diagonal/>
    </border>
    <border>
      <left style="thin">
        <color theme="8" tint="-0.499984740745262"/>
      </left>
      <right/>
      <top style="thin">
        <color theme="7" tint="0.79998168889431442"/>
      </top>
      <bottom style="thin">
        <color theme="7" tint="-0.499984740745262"/>
      </bottom>
      <diagonal/>
    </border>
    <border>
      <left/>
      <right/>
      <top style="thin">
        <color theme="7" tint="0.79998168889431442"/>
      </top>
      <bottom style="thin">
        <color theme="7" tint="-0.499984740745262"/>
      </bottom>
      <diagonal/>
    </border>
    <border>
      <left style="thin">
        <color theme="7" tint="0.79998168889431442"/>
      </left>
      <right style="thin">
        <color theme="7" tint="0.79998168889431442"/>
      </right>
      <top style="thin">
        <color theme="7" tint="0.79998168889431442"/>
      </top>
      <bottom style="thin">
        <color theme="7" tint="-0.24994659260841701"/>
      </bottom>
      <diagonal/>
    </border>
    <border>
      <left style="thin">
        <color theme="7" tint="0.79998168889431442"/>
      </left>
      <right style="medium">
        <color theme="5" tint="-0.499984740745262"/>
      </right>
      <top style="thin">
        <color theme="7" tint="0.79998168889431442"/>
      </top>
      <bottom style="thin">
        <color theme="7" tint="-0.24994659260841701"/>
      </bottom>
      <diagonal/>
    </border>
    <border>
      <left style="thin">
        <color theme="7" tint="0.79998168889431442"/>
      </left>
      <right style="medium">
        <color theme="5" tint="-0.499984740745262"/>
      </right>
      <top/>
      <bottom/>
      <diagonal/>
    </border>
    <border>
      <left style="medium">
        <color theme="5" tint="-0.499984740745262"/>
      </left>
      <right style="medium">
        <color theme="5" tint="-0.499984740745262"/>
      </right>
      <top style="thin">
        <color theme="5" tint="0.59996337778862885"/>
      </top>
      <bottom style="thin">
        <color theme="7" tint="-0.499984740745262"/>
      </bottom>
      <diagonal/>
    </border>
    <border>
      <left style="medium">
        <color theme="5" tint="-0.499984740745262"/>
      </left>
      <right style="medium">
        <color theme="5" tint="-0.499984740745262"/>
      </right>
      <top style="thin">
        <color theme="5" tint="-0.499984740745262"/>
      </top>
      <bottom style="thin">
        <color theme="5" tint="0.59996337778862885"/>
      </bottom>
      <diagonal/>
    </border>
    <border>
      <left/>
      <right style="thin">
        <color theme="8" tint="-0.499984740745262"/>
      </right>
      <top style="thin">
        <color theme="8" tint="-0.499984740745262"/>
      </top>
      <bottom/>
      <diagonal/>
    </border>
    <border>
      <left/>
      <right style="thin">
        <color theme="8" tint="-0.499984740745262"/>
      </right>
      <top/>
      <bottom/>
      <diagonal/>
    </border>
    <border>
      <left/>
      <right/>
      <top style="thin">
        <color theme="9" tint="0.79998168889431442"/>
      </top>
      <bottom style="thin">
        <color theme="9" tint="0.79998168889431442"/>
      </bottom>
      <diagonal/>
    </border>
    <border>
      <left style="thin">
        <color theme="9" tint="0.79995117038483843"/>
      </left>
      <right style="thin">
        <color theme="9" tint="0.79995117038483843"/>
      </right>
      <top style="thin">
        <color theme="9" tint="0.79995117038483843"/>
      </top>
      <bottom style="thin">
        <color theme="9" tint="0.79995117038483843"/>
      </bottom>
      <diagonal/>
    </border>
    <border>
      <left/>
      <right/>
      <top/>
      <bottom style="thin">
        <color theme="9" tint="0.79998168889431442"/>
      </bottom>
      <diagonal/>
    </border>
    <border>
      <left/>
      <right style="medium">
        <color theme="5" tint="-0.499984740745262"/>
      </right>
      <top style="thin">
        <color theme="8" tint="0.59996337778862885"/>
      </top>
      <bottom style="thin">
        <color theme="8" tint="0.59996337778862885"/>
      </bottom>
      <diagonal/>
    </border>
    <border>
      <left style="medium">
        <color theme="5" tint="-0.499984740745262"/>
      </left>
      <right style="medium">
        <color theme="5" tint="-0.499984740745262"/>
      </right>
      <top style="thin">
        <color theme="7" tint="-0.499984740745262"/>
      </top>
      <bottom/>
      <diagonal/>
    </border>
    <border>
      <left style="thin">
        <color theme="7" tint="0.79998168889431442"/>
      </left>
      <right style="thin">
        <color theme="7" tint="0.79998168889431442"/>
      </right>
      <top/>
      <bottom/>
      <diagonal/>
    </border>
    <border>
      <left style="thin">
        <color theme="9" tint="0.59996337778862885"/>
      </left>
      <right style="medium">
        <color theme="5" tint="-0.499984740745262"/>
      </right>
      <top/>
      <bottom/>
      <diagonal/>
    </border>
    <border>
      <left style="thin">
        <color theme="9" tint="0.59996337778862885"/>
      </left>
      <right/>
      <top/>
      <bottom/>
      <diagonal/>
    </border>
    <border>
      <left style="thin">
        <color theme="9" tint="0.59996337778862885"/>
      </left>
      <right/>
      <top/>
      <bottom style="thin">
        <color theme="9" tint="0.59996337778862885"/>
      </bottom>
      <diagonal/>
    </border>
    <border>
      <left style="thin">
        <color theme="9" tint="0.59996337778862885"/>
      </left>
      <right/>
      <top style="thin">
        <color theme="9" tint="0.59996337778862885"/>
      </top>
      <bottom style="thin">
        <color theme="9" tint="0.59996337778862885"/>
      </bottom>
      <diagonal/>
    </border>
    <border>
      <left style="thin">
        <color theme="9" tint="0.59996337778862885"/>
      </left>
      <right/>
      <top style="thin">
        <color theme="9" tint="0.59996337778862885"/>
      </top>
      <bottom/>
      <diagonal/>
    </border>
    <border>
      <left style="thin">
        <color theme="9" tint="0.59996337778862885"/>
      </left>
      <right style="medium">
        <color theme="5" tint="-0.499984740745262"/>
      </right>
      <top/>
      <bottom style="thin">
        <color theme="9" tint="0.59996337778862885"/>
      </bottom>
      <diagonal/>
    </border>
    <border>
      <left style="thin">
        <color theme="9" tint="0.59996337778862885"/>
      </left>
      <right style="medium">
        <color theme="5" tint="-0.499984740745262"/>
      </right>
      <top style="thin">
        <color theme="9" tint="0.59996337778862885"/>
      </top>
      <bottom style="thin">
        <color theme="9" tint="0.59996337778862885"/>
      </bottom>
      <diagonal/>
    </border>
    <border>
      <left style="thin">
        <color theme="9" tint="0.59996337778862885"/>
      </left>
      <right style="medium">
        <color theme="5" tint="-0.499984740745262"/>
      </right>
      <top style="thin">
        <color theme="9" tint="0.59996337778862885"/>
      </top>
      <bottom/>
      <diagonal/>
    </border>
    <border>
      <left/>
      <right style="thin">
        <color theme="8" tint="-0.499984740745262"/>
      </right>
      <top/>
      <bottom style="thin">
        <color theme="8" tint="-0.499984740745262"/>
      </bottom>
      <diagonal/>
    </border>
    <border>
      <left/>
      <right style="thin">
        <color theme="8" tint="-0.499984740745262"/>
      </right>
      <top style="medium">
        <color theme="5" tint="-0.499984740745262"/>
      </top>
      <bottom style="thin">
        <color theme="8" tint="-0.499984740745262"/>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thin">
        <color theme="8" tint="0.59996337778862885"/>
      </top>
      <bottom style="thin">
        <color theme="9" tint="0.79998168889431442"/>
      </bottom>
      <diagonal/>
    </border>
    <border>
      <left/>
      <right style="medium">
        <color theme="5" tint="-0.499984740745262"/>
      </right>
      <top style="thin">
        <color theme="8" tint="0.59996337778862885"/>
      </top>
      <bottom style="thin">
        <color theme="9" tint="0.79998168889431442"/>
      </bottom>
      <diagonal/>
    </border>
    <border>
      <left/>
      <right style="medium">
        <color theme="5" tint="-0.499984740745262"/>
      </right>
      <top style="thin">
        <color theme="9" tint="0.79998168889431442"/>
      </top>
      <bottom style="thin">
        <color theme="9" tint="0.79998168889431442"/>
      </bottom>
      <diagonal/>
    </border>
    <border>
      <left/>
      <right/>
      <top style="thin">
        <color theme="9" tint="0.79998168889431442"/>
      </top>
      <bottom style="thin">
        <color theme="8" tint="0.59996337778862885"/>
      </bottom>
      <diagonal/>
    </border>
    <border>
      <left/>
      <right style="medium">
        <color theme="5" tint="-0.499984740745262"/>
      </right>
      <top style="thin">
        <color theme="9" tint="0.79998168889431442"/>
      </top>
      <bottom style="thin">
        <color theme="8" tint="0.59996337778862885"/>
      </bottom>
      <diagonal/>
    </border>
    <border>
      <left style="thin">
        <color theme="9" tint="0.59996337778862885"/>
      </left>
      <right style="thin">
        <color theme="9" tint="0.59996337778862885"/>
      </right>
      <top/>
      <bottom/>
      <diagonal/>
    </border>
    <border>
      <left/>
      <right style="thin">
        <color theme="9" tint="0.59996337778862885"/>
      </right>
      <top/>
      <bottom/>
      <diagonal/>
    </border>
    <border>
      <left style="thin">
        <color theme="9" tint="-0.499984740745262"/>
      </left>
      <right style="thin">
        <color theme="9" tint="0.59996337778862885"/>
      </right>
      <top style="thin">
        <color theme="9" tint="-0.499984740745262"/>
      </top>
      <bottom style="thin">
        <color theme="9" tint="-0.499984740745262"/>
      </bottom>
      <diagonal/>
    </border>
    <border>
      <left style="thin">
        <color theme="9" tint="0.59996337778862885"/>
      </left>
      <right style="thin">
        <color theme="9" tint="0.59996337778862885"/>
      </right>
      <top style="thin">
        <color theme="9" tint="-0.499984740745262"/>
      </top>
      <bottom style="thin">
        <color theme="9" tint="-0.499984740745262"/>
      </bottom>
      <diagonal/>
    </border>
    <border>
      <left style="thin">
        <color theme="9" tint="0.59996337778862885"/>
      </left>
      <right style="thin">
        <color theme="9" tint="-0.499984740745262"/>
      </right>
      <top style="thin">
        <color theme="9" tint="-0.499984740745262"/>
      </top>
      <bottom style="thin">
        <color theme="9" tint="-0.499984740745262"/>
      </bottom>
      <diagonal/>
    </border>
    <border>
      <left style="thin">
        <color theme="7" tint="0.39994506668294322"/>
      </left>
      <right style="thin">
        <color theme="7" tint="0.59996337778862885"/>
      </right>
      <top/>
      <bottom style="thin">
        <color theme="7" tint="0.59996337778862885"/>
      </bottom>
      <diagonal/>
    </border>
    <border>
      <left style="thin">
        <color theme="8" tint="-0.499984740745262"/>
      </left>
      <right/>
      <top style="thin">
        <color theme="7" tint="0.79998168889431442"/>
      </top>
      <bottom/>
      <diagonal/>
    </border>
    <border>
      <left/>
      <right/>
      <top style="thin">
        <color theme="7" tint="0.79998168889431442"/>
      </top>
      <bottom/>
      <diagonal/>
    </border>
    <border>
      <left/>
      <right style="thin">
        <color theme="7" tint="0.39994506668294322"/>
      </right>
      <top style="thin">
        <color theme="7" tint="0.79998168889431442"/>
      </top>
      <bottom/>
      <diagonal/>
    </border>
    <border>
      <left style="thin">
        <color theme="7" tint="0.39994506668294322"/>
      </left>
      <right style="thin">
        <color theme="7" tint="0.79998168889431442"/>
      </right>
      <top style="thin">
        <color theme="7" tint="-0.499984740745262"/>
      </top>
      <bottom style="thin">
        <color theme="7" tint="0.79998168889431442"/>
      </bottom>
      <diagonal/>
    </border>
    <border>
      <left style="thin">
        <color theme="7" tint="0.79998168889431442"/>
      </left>
      <right style="thin">
        <color theme="7" tint="0.79998168889431442"/>
      </right>
      <top style="thin">
        <color theme="7" tint="-0.499984740745262"/>
      </top>
      <bottom style="thin">
        <color theme="7" tint="0.79998168889431442"/>
      </bottom>
      <diagonal/>
    </border>
    <border>
      <left style="thin">
        <color theme="7" tint="0.79998168889431442"/>
      </left>
      <right style="medium">
        <color theme="5" tint="-0.499984740745262"/>
      </right>
      <top style="thin">
        <color theme="7" tint="-0.499984740745262"/>
      </top>
      <bottom style="thin">
        <color theme="7" tint="0.79998168889431442"/>
      </bottom>
      <diagonal/>
    </border>
    <border>
      <left style="medium">
        <color theme="5" tint="-0.499984740745262"/>
      </left>
      <right style="medium">
        <color theme="5" tint="-0.499984740745262"/>
      </right>
      <top style="thin">
        <color theme="7" tint="-0.499984740745262"/>
      </top>
      <bottom style="thin">
        <color theme="5" tint="0.59996337778862885"/>
      </bottom>
      <diagonal/>
    </border>
    <border>
      <left style="thin">
        <color theme="7" tint="0.39994506668294322"/>
      </left>
      <right style="thin">
        <color theme="7" tint="0.59996337778862885"/>
      </right>
      <top style="thin">
        <color theme="7" tint="-0.24994659260841701"/>
      </top>
      <bottom style="thin">
        <color theme="7" tint="0.39991454817346722"/>
      </bottom>
      <diagonal/>
    </border>
    <border>
      <left style="thin">
        <color theme="7" tint="0.39994506668294322"/>
      </left>
      <right style="medium">
        <color theme="5" tint="-0.499984740745262"/>
      </right>
      <top style="thin">
        <color theme="7" tint="-0.24994659260841701"/>
      </top>
      <bottom style="thin">
        <color theme="7" tint="0.39991454817346722"/>
      </bottom>
      <diagonal/>
    </border>
    <border>
      <left style="thin">
        <color theme="7" tint="0.39994506668294322"/>
      </left>
      <right style="thin">
        <color theme="7" tint="0.59996337778862885"/>
      </right>
      <top style="thin">
        <color theme="7" tint="0.39991454817346722"/>
      </top>
      <bottom style="thin">
        <color theme="7" tint="0.39991454817346722"/>
      </bottom>
      <diagonal/>
    </border>
    <border>
      <left style="thin">
        <color theme="7" tint="0.39994506668294322"/>
      </left>
      <right style="medium">
        <color theme="5" tint="-0.499984740745262"/>
      </right>
      <top style="thin">
        <color theme="7" tint="0.39991454817346722"/>
      </top>
      <bottom style="thin">
        <color theme="7" tint="0.39991454817346722"/>
      </bottom>
      <diagonal/>
    </border>
    <border>
      <left style="thin">
        <color theme="7" tint="0.39994506668294322"/>
      </left>
      <right style="thin">
        <color theme="7" tint="0.59996337778862885"/>
      </right>
      <top style="thin">
        <color theme="7" tint="0.39991454817346722"/>
      </top>
      <bottom style="thin">
        <color theme="7" tint="0.59996337778862885"/>
      </bottom>
      <diagonal/>
    </border>
    <border>
      <left style="thin">
        <color theme="7" tint="0.39994506668294322"/>
      </left>
      <right style="medium">
        <color theme="5" tint="-0.499984740745262"/>
      </right>
      <top style="thin">
        <color theme="7" tint="0.39991454817346722"/>
      </top>
      <bottom style="thin">
        <color theme="7" tint="0.59996337778862885"/>
      </bottom>
      <diagonal/>
    </border>
    <border>
      <left/>
      <right style="thin">
        <color theme="9" tint="-0.499984740745262"/>
      </right>
      <top style="thin">
        <color theme="9" tint="-0.499984740745262"/>
      </top>
      <bottom/>
      <diagonal/>
    </border>
    <border>
      <left/>
      <right/>
      <top style="thin">
        <color theme="9" tint="-0.499984740745262"/>
      </top>
      <bottom/>
      <diagonal/>
    </border>
    <border>
      <left style="thin">
        <color indexed="64"/>
      </left>
      <right style="thin">
        <color theme="9" tint="-0.499984740745262"/>
      </right>
      <top/>
      <bottom style="thin">
        <color indexed="64"/>
      </bottom>
      <diagonal/>
    </border>
    <border>
      <left style="thin">
        <color indexed="64"/>
      </left>
      <right style="thin">
        <color theme="9" tint="-0.499984740745262"/>
      </right>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theme="9" tint="-0.499984740745262"/>
      </left>
      <right style="hair">
        <color theme="9" tint="-0.499984740745262"/>
      </right>
      <top style="thin">
        <color indexed="64"/>
      </top>
      <bottom style="hair">
        <color indexed="64"/>
      </bottom>
      <diagonal/>
    </border>
    <border>
      <left style="thin">
        <color theme="9" tint="-0.499984740745262"/>
      </left>
      <right/>
      <top style="thin">
        <color theme="9" tint="-0.499984740745262"/>
      </top>
      <bottom/>
      <diagonal/>
    </border>
    <border>
      <left style="thin">
        <color theme="9" tint="-0.499984740745262"/>
      </left>
      <right/>
      <top/>
      <bottom style="thin">
        <color indexed="64"/>
      </bottom>
      <diagonal/>
    </border>
    <border>
      <left/>
      <right style="thin">
        <color theme="9" tint="-0.499984740745262"/>
      </right>
      <top/>
      <bottom style="thin">
        <color indexed="64"/>
      </bottom>
      <diagonal/>
    </border>
    <border>
      <left style="thin">
        <color theme="9" tint="-0.499984740745262"/>
      </left>
      <right/>
      <top/>
      <bottom style="thin">
        <color theme="9" tint="-0.499984740745262"/>
      </bottom>
      <diagonal/>
    </border>
    <border>
      <left/>
      <right style="thin">
        <color theme="9" tint="-0.499984740745262"/>
      </right>
      <top/>
      <bottom style="thin">
        <color theme="9" tint="-0.499984740745262"/>
      </bottom>
      <diagonal/>
    </border>
    <border>
      <left/>
      <right/>
      <top/>
      <bottom style="thin">
        <color theme="9" tint="-0.499984740745262"/>
      </bottom>
      <diagonal/>
    </border>
    <border>
      <left style="thin">
        <color theme="9" tint="-0.499984740745262"/>
      </left>
      <right/>
      <top/>
      <bottom/>
      <diagonal/>
    </border>
    <border>
      <left/>
      <right style="thin">
        <color theme="9" tint="-0.499984740745262"/>
      </right>
      <top/>
      <bottom/>
      <diagonal/>
    </border>
    <border>
      <left/>
      <right style="medium">
        <color theme="5" tint="-0.499984740745262"/>
      </right>
      <top/>
      <bottom style="thin">
        <color theme="9" tint="0.79998168889431442"/>
      </bottom>
      <diagonal/>
    </border>
  </borders>
  <cellStyleXfs count="2">
    <xf numFmtId="0" fontId="0" fillId="0" borderId="0"/>
    <xf numFmtId="9" fontId="1" fillId="0" borderId="0" applyFont="0" applyFill="0" applyBorder="0" applyAlignment="0" applyProtection="0"/>
  </cellStyleXfs>
  <cellXfs count="377">
    <xf numFmtId="0" fontId="0" fillId="0" borderId="0" xfId="0"/>
    <xf numFmtId="0" fontId="10" fillId="3" borderId="78" xfId="0" applyFont="1" applyFill="1" applyBorder="1" applyAlignment="1" applyProtection="1">
      <alignment vertical="center"/>
      <protection locked="0"/>
    </xf>
    <xf numFmtId="9" fontId="2" fillId="21" borderId="93" xfId="1" applyFont="1" applyFill="1" applyBorder="1" applyAlignment="1" applyProtection="1">
      <alignment horizontal="center" vertical="center"/>
    </xf>
    <xf numFmtId="0" fontId="4" fillId="0" borderId="0" xfId="0" applyFont="1" applyProtection="1"/>
    <xf numFmtId="0" fontId="4" fillId="0" borderId="0" xfId="0" applyFont="1" applyAlignment="1" applyProtection="1">
      <alignment horizontal="center"/>
    </xf>
    <xf numFmtId="0" fontId="4" fillId="0" borderId="0" xfId="0" applyFont="1" applyAlignment="1" applyProtection="1">
      <alignment horizontal="left" vertical="center"/>
    </xf>
    <xf numFmtId="9" fontId="4" fillId="0" borderId="0" xfId="1" applyFont="1" applyAlignment="1" applyProtection="1">
      <alignment horizontal="center" vertical="center"/>
    </xf>
    <xf numFmtId="0" fontId="4" fillId="0" borderId="0" xfId="0" applyFont="1" applyBorder="1" applyProtection="1"/>
    <xf numFmtId="9" fontId="3" fillId="2" borderId="6" xfId="1" applyFont="1" applyFill="1" applyBorder="1" applyAlignment="1" applyProtection="1">
      <alignment horizontal="center" vertical="center"/>
    </xf>
    <xf numFmtId="0" fontId="2" fillId="14" borderId="2" xfId="0" applyFont="1" applyFill="1" applyBorder="1" applyAlignment="1" applyProtection="1">
      <alignment horizontal="left" vertical="center"/>
    </xf>
    <xf numFmtId="9" fontId="3" fillId="14" borderId="1" xfId="1" applyFont="1" applyFill="1" applyBorder="1" applyAlignment="1" applyProtection="1">
      <alignment vertical="center"/>
    </xf>
    <xf numFmtId="9" fontId="3" fillId="14" borderId="3" xfId="1" applyFont="1" applyFill="1" applyBorder="1" applyAlignment="1" applyProtection="1">
      <alignment horizontal="center" vertical="center"/>
    </xf>
    <xf numFmtId="0" fontId="3" fillId="14" borderId="2" xfId="0" applyFont="1" applyFill="1" applyBorder="1" applyAlignment="1" applyProtection="1">
      <alignment horizontal="left" vertical="center"/>
    </xf>
    <xf numFmtId="9" fontId="3" fillId="18" borderId="0" xfId="1" applyFont="1" applyFill="1" applyBorder="1" applyAlignment="1" applyProtection="1">
      <alignment horizontal="center" vertical="center"/>
    </xf>
    <xf numFmtId="9" fontId="3" fillId="18" borderId="94" xfId="1" applyFont="1" applyFill="1" applyBorder="1" applyAlignment="1" applyProtection="1">
      <alignment horizontal="center" vertical="center"/>
    </xf>
    <xf numFmtId="0" fontId="3" fillId="14" borderId="5" xfId="0" applyFont="1" applyFill="1" applyBorder="1" applyAlignment="1" applyProtection="1">
      <alignment horizontal="left" vertical="center"/>
    </xf>
    <xf numFmtId="9" fontId="3" fillId="14" borderId="6" xfId="1" applyFont="1" applyFill="1" applyBorder="1" applyAlignment="1" applyProtection="1">
      <alignment horizontal="center" vertical="center"/>
    </xf>
    <xf numFmtId="9" fontId="10" fillId="18" borderId="0" xfId="1" applyFont="1" applyFill="1" applyBorder="1" applyAlignment="1" applyProtection="1">
      <alignment horizontal="center" vertical="center"/>
    </xf>
    <xf numFmtId="9" fontId="10" fillId="18" borderId="94" xfId="1" applyFont="1" applyFill="1" applyBorder="1" applyAlignment="1" applyProtection="1">
      <alignment horizontal="center" vertical="center"/>
    </xf>
    <xf numFmtId="0" fontId="10" fillId="0" borderId="0" xfId="0" applyFont="1" applyProtection="1"/>
    <xf numFmtId="0" fontId="10" fillId="0" borderId="0" xfId="0" applyFont="1" applyAlignment="1" applyProtection="1">
      <alignment horizontal="center"/>
    </xf>
    <xf numFmtId="9" fontId="10" fillId="15" borderId="0" xfId="1" applyFont="1" applyFill="1" applyBorder="1" applyAlignment="1" applyProtection="1">
      <alignment horizontal="center" vertical="center"/>
    </xf>
    <xf numFmtId="9" fontId="10" fillId="15" borderId="94" xfId="1" applyFont="1" applyFill="1" applyBorder="1" applyAlignment="1" applyProtection="1">
      <alignment horizontal="center" vertical="center"/>
    </xf>
    <xf numFmtId="9" fontId="10" fillId="7" borderId="0" xfId="1" applyFont="1" applyFill="1" applyBorder="1" applyAlignment="1" applyProtection="1">
      <alignment horizontal="center" vertical="center"/>
    </xf>
    <xf numFmtId="9" fontId="10" fillId="7" borderId="94" xfId="1" applyFont="1" applyFill="1" applyBorder="1" applyAlignment="1" applyProtection="1">
      <alignment horizontal="center" vertical="center"/>
    </xf>
    <xf numFmtId="9" fontId="10" fillId="18" borderId="101" xfId="1" applyFont="1" applyFill="1" applyBorder="1" applyAlignment="1" applyProtection="1">
      <alignment horizontal="center" vertical="center"/>
    </xf>
    <xf numFmtId="0" fontId="10" fillId="15" borderId="101" xfId="0" applyFont="1" applyFill="1" applyBorder="1" applyAlignment="1" applyProtection="1">
      <alignment horizontal="left" vertical="center"/>
    </xf>
    <xf numFmtId="9" fontId="10" fillId="15" borderId="101" xfId="1" applyFont="1" applyFill="1" applyBorder="1" applyAlignment="1" applyProtection="1">
      <alignment horizontal="center" vertical="center"/>
    </xf>
    <xf numFmtId="0" fontId="10" fillId="7" borderId="101" xfId="0" applyFont="1" applyFill="1" applyBorder="1" applyAlignment="1" applyProtection="1">
      <alignment horizontal="left" vertical="center"/>
    </xf>
    <xf numFmtId="9" fontId="10" fillId="7" borderId="101" xfId="1" applyFont="1" applyFill="1" applyBorder="1" applyAlignment="1" applyProtection="1">
      <alignment horizontal="center" vertical="center"/>
    </xf>
    <xf numFmtId="9" fontId="3" fillId="18" borderId="101" xfId="1" applyFont="1" applyFill="1" applyBorder="1" applyAlignment="1" applyProtection="1">
      <alignment horizontal="center" vertical="center"/>
    </xf>
    <xf numFmtId="0" fontId="10" fillId="18" borderId="84" xfId="0" applyFont="1" applyFill="1" applyBorder="1" applyAlignment="1" applyProtection="1">
      <alignment horizontal="left" vertical="center"/>
    </xf>
    <xf numFmtId="9" fontId="10" fillId="18" borderId="102" xfId="1" applyFont="1" applyFill="1" applyBorder="1" applyAlignment="1" applyProtection="1">
      <alignment horizontal="center" vertical="center"/>
    </xf>
    <xf numFmtId="9" fontId="10" fillId="3" borderId="103" xfId="1" applyFont="1" applyFill="1" applyBorder="1" applyAlignment="1" applyProtection="1">
      <alignment horizontal="center" vertical="center"/>
      <protection locked="0"/>
    </xf>
    <xf numFmtId="9" fontId="10" fillId="3" borderId="104" xfId="1" applyFont="1" applyFill="1" applyBorder="1" applyAlignment="1" applyProtection="1">
      <alignment horizontal="center" vertical="center"/>
      <protection locked="0"/>
    </xf>
    <xf numFmtId="9" fontId="10" fillId="3" borderId="105" xfId="1" applyFont="1" applyFill="1" applyBorder="1" applyAlignment="1" applyProtection="1">
      <alignment horizontal="center" vertical="center"/>
      <protection locked="0"/>
    </xf>
    <xf numFmtId="9" fontId="10" fillId="15" borderId="84" xfId="1" applyFont="1" applyFill="1" applyBorder="1" applyAlignment="1" applyProtection="1">
      <alignment horizontal="center" vertical="center"/>
    </xf>
    <xf numFmtId="9" fontId="10" fillId="15" borderId="102" xfId="1" applyFont="1" applyFill="1" applyBorder="1" applyAlignment="1" applyProtection="1">
      <alignment horizontal="center" vertical="center"/>
    </xf>
    <xf numFmtId="9" fontId="10" fillId="7" borderId="84" xfId="1" applyFont="1" applyFill="1" applyBorder="1" applyAlignment="1" applyProtection="1">
      <alignment horizontal="center" vertical="center"/>
    </xf>
    <xf numFmtId="9" fontId="10" fillId="7" borderId="103" xfId="1" applyFont="1" applyFill="1" applyBorder="1" applyAlignment="1" applyProtection="1">
      <alignment horizontal="center" vertical="center"/>
    </xf>
    <xf numFmtId="9" fontId="10" fillId="7" borderId="104" xfId="1" applyFont="1" applyFill="1" applyBorder="1" applyAlignment="1" applyProtection="1">
      <alignment horizontal="center" vertical="center"/>
    </xf>
    <xf numFmtId="9" fontId="10" fillId="7" borderId="105" xfId="1" applyFont="1" applyFill="1" applyBorder="1" applyAlignment="1" applyProtection="1">
      <alignment horizontal="center" vertical="center"/>
    </xf>
    <xf numFmtId="0" fontId="3" fillId="18" borderId="84" xfId="0" applyFont="1" applyFill="1" applyBorder="1" applyAlignment="1" applyProtection="1">
      <alignment horizontal="left" vertical="center"/>
    </xf>
    <xf numFmtId="9" fontId="3" fillId="18" borderId="102" xfId="1" applyFont="1" applyFill="1" applyBorder="1" applyAlignment="1" applyProtection="1">
      <alignment horizontal="center" vertical="center"/>
    </xf>
    <xf numFmtId="9" fontId="3" fillId="18" borderId="103" xfId="1" applyFont="1" applyFill="1" applyBorder="1" applyAlignment="1" applyProtection="1">
      <alignment horizontal="center" vertical="center"/>
    </xf>
    <xf numFmtId="9" fontId="3" fillId="18" borderId="104" xfId="1" applyFont="1" applyFill="1" applyBorder="1" applyAlignment="1" applyProtection="1">
      <alignment horizontal="center" vertical="center"/>
    </xf>
    <xf numFmtId="9" fontId="3" fillId="18" borderId="105" xfId="1" applyFont="1" applyFill="1" applyBorder="1" applyAlignment="1" applyProtection="1">
      <alignment horizontal="center" vertical="center"/>
    </xf>
    <xf numFmtId="9" fontId="10" fillId="7" borderId="95" xfId="1" applyFont="1" applyFill="1" applyBorder="1" applyAlignment="1" applyProtection="1">
      <alignment horizontal="center" vertical="center"/>
    </xf>
    <xf numFmtId="9" fontId="2" fillId="21" borderId="94" xfId="1" applyFont="1" applyFill="1" applyBorder="1" applyAlignment="1" applyProtection="1">
      <alignment horizontal="center" vertical="center"/>
    </xf>
    <xf numFmtId="9" fontId="10" fillId="15" borderId="103" xfId="1" applyFont="1" applyFill="1" applyBorder="1" applyAlignment="1" applyProtection="1">
      <alignment horizontal="center" vertical="center"/>
    </xf>
    <xf numFmtId="9" fontId="10" fillId="15" borderId="104" xfId="1" applyFont="1" applyFill="1" applyBorder="1" applyAlignment="1" applyProtection="1">
      <alignment horizontal="center" vertical="center"/>
    </xf>
    <xf numFmtId="9" fontId="10" fillId="15" borderId="105" xfId="1" applyFont="1" applyFill="1" applyBorder="1" applyAlignment="1" applyProtection="1">
      <alignment horizontal="center" vertical="center"/>
    </xf>
    <xf numFmtId="0" fontId="14" fillId="0" borderId="0" xfId="0" applyFont="1" applyProtection="1"/>
    <xf numFmtId="0" fontId="3" fillId="14" borderId="77" xfId="0" applyFont="1" applyFill="1" applyBorder="1" applyAlignment="1" applyProtection="1">
      <alignment horizontal="left" vertical="center"/>
    </xf>
    <xf numFmtId="2" fontId="3" fillId="14" borderId="0" xfId="1" applyNumberFormat="1" applyFont="1" applyFill="1" applyBorder="1" applyAlignment="1" applyProtection="1">
      <alignment horizontal="center" vertical="center"/>
    </xf>
    <xf numFmtId="2" fontId="3" fillId="14" borderId="76" xfId="1" applyNumberFormat="1" applyFont="1" applyFill="1" applyBorder="1" applyAlignment="1" applyProtection="1">
      <alignment horizontal="center" vertical="center"/>
    </xf>
    <xf numFmtId="0" fontId="3" fillId="14" borderId="79" xfId="0" applyFont="1" applyFill="1" applyBorder="1" applyAlignment="1" applyProtection="1">
      <alignment vertical="center"/>
    </xf>
    <xf numFmtId="0" fontId="3" fillId="14" borderId="0" xfId="0" applyFont="1" applyFill="1" applyBorder="1" applyAlignment="1" applyProtection="1">
      <alignment vertical="center"/>
    </xf>
    <xf numFmtId="0" fontId="3" fillId="14" borderId="0" xfId="0" applyFont="1" applyFill="1" applyBorder="1" applyAlignment="1" applyProtection="1">
      <alignment horizontal="left" vertical="center"/>
    </xf>
    <xf numFmtId="9" fontId="3" fillId="14" borderId="0" xfId="1" applyFont="1" applyFill="1" applyBorder="1" applyAlignment="1" applyProtection="1">
      <alignment horizontal="right" vertical="center"/>
    </xf>
    <xf numFmtId="1" fontId="3" fillId="14" borderId="0" xfId="1" applyNumberFormat="1" applyFont="1" applyFill="1" applyBorder="1" applyAlignment="1" applyProtection="1">
      <alignment horizontal="center" vertical="center"/>
    </xf>
    <xf numFmtId="1" fontId="3" fillId="14" borderId="76" xfId="1" applyNumberFormat="1" applyFont="1" applyFill="1" applyBorder="1" applyAlignment="1" applyProtection="1">
      <alignment horizontal="center" vertical="center"/>
    </xf>
    <xf numFmtId="0" fontId="3" fillId="13" borderId="59" xfId="0" applyFont="1" applyFill="1" applyBorder="1" applyAlignment="1" applyProtection="1">
      <alignment horizontal="left" vertical="center"/>
    </xf>
    <xf numFmtId="9" fontId="3" fillId="13" borderId="59" xfId="1" applyFont="1" applyFill="1" applyBorder="1" applyAlignment="1" applyProtection="1">
      <alignment horizontal="right" vertical="center" indent="1"/>
    </xf>
    <xf numFmtId="9" fontId="3" fillId="17" borderId="65" xfId="1" applyFont="1" applyFill="1" applyBorder="1" applyAlignment="1" applyProtection="1">
      <alignment horizontal="center" vertical="center"/>
    </xf>
    <xf numFmtId="9" fontId="11" fillId="12" borderId="65" xfId="1" applyFont="1" applyFill="1" applyBorder="1" applyAlignment="1" applyProtection="1">
      <alignment horizontal="center" vertical="center"/>
    </xf>
    <xf numFmtId="9" fontId="11" fillId="15" borderId="65" xfId="1" applyFont="1" applyFill="1" applyBorder="1" applyAlignment="1" applyProtection="1">
      <alignment horizontal="center" vertical="center"/>
    </xf>
    <xf numFmtId="2" fontId="11" fillId="18" borderId="66" xfId="1" applyNumberFormat="1" applyFont="1" applyFill="1" applyBorder="1" applyAlignment="1" applyProtection="1">
      <alignment horizontal="center" vertical="center"/>
    </xf>
    <xf numFmtId="2" fontId="3" fillId="6" borderId="54" xfId="1" applyNumberFormat="1" applyFont="1" applyFill="1" applyBorder="1" applyAlignment="1" applyProtection="1">
      <alignment horizontal="center" vertical="center"/>
    </xf>
    <xf numFmtId="0" fontId="3" fillId="13" borderId="0" xfId="0" applyFont="1" applyFill="1" applyBorder="1" applyAlignment="1" applyProtection="1">
      <alignment horizontal="left" vertical="center"/>
    </xf>
    <xf numFmtId="9" fontId="3" fillId="13" borderId="0" xfId="1" applyFont="1" applyFill="1" applyBorder="1" applyAlignment="1" applyProtection="1">
      <alignment horizontal="right" vertical="center" indent="1"/>
    </xf>
    <xf numFmtId="1" fontId="3" fillId="13" borderId="82" xfId="1" applyNumberFormat="1" applyFont="1" applyFill="1" applyBorder="1" applyAlignment="1" applyProtection="1">
      <alignment horizontal="center" vertical="center"/>
    </xf>
    <xf numFmtId="1" fontId="3" fillId="13" borderId="72" xfId="1" applyNumberFormat="1" applyFont="1" applyFill="1" applyBorder="1" applyAlignment="1" applyProtection="1">
      <alignment horizontal="center" vertical="center"/>
    </xf>
    <xf numFmtId="1" fontId="3" fillId="6" borderId="8" xfId="1" applyNumberFormat="1" applyFont="1" applyFill="1" applyBorder="1" applyAlignment="1" applyProtection="1">
      <alignment horizontal="center" vertical="center"/>
    </xf>
    <xf numFmtId="0" fontId="7" fillId="22" borderId="69" xfId="0" applyFont="1" applyFill="1" applyBorder="1" applyAlignment="1" applyProtection="1">
      <alignment horizontal="left" vertical="center"/>
    </xf>
    <xf numFmtId="0" fontId="7" fillId="22" borderId="69" xfId="0" applyFont="1" applyFill="1" applyBorder="1" applyAlignment="1" applyProtection="1">
      <alignment horizontal="left" vertical="center" wrapText="1"/>
    </xf>
    <xf numFmtId="9" fontId="7" fillId="22" borderId="60" xfId="1" quotePrefix="1" applyFont="1" applyFill="1" applyBorder="1" applyAlignment="1" applyProtection="1">
      <alignment horizontal="right" vertical="center"/>
    </xf>
    <xf numFmtId="1" fontId="12" fillId="22" borderId="70" xfId="1" applyNumberFormat="1" applyFont="1" applyFill="1" applyBorder="1" applyAlignment="1" applyProtection="1">
      <alignment horizontal="left" vertical="center" indent="1"/>
    </xf>
    <xf numFmtId="1" fontId="12" fillId="22" borderId="70" xfId="1" applyNumberFormat="1" applyFont="1" applyFill="1" applyBorder="1" applyAlignment="1" applyProtection="1">
      <alignment horizontal="center" vertical="center"/>
    </xf>
    <xf numFmtId="1" fontId="12" fillId="22" borderId="71" xfId="1" applyNumberFormat="1" applyFont="1" applyFill="1" applyBorder="1" applyAlignment="1" applyProtection="1">
      <alignment horizontal="center" vertical="center"/>
    </xf>
    <xf numFmtId="1" fontId="12" fillId="8" borderId="55" xfId="1" applyNumberFormat="1" applyFont="1" applyFill="1" applyBorder="1" applyAlignment="1" applyProtection="1">
      <alignment horizontal="center" vertical="center"/>
    </xf>
    <xf numFmtId="0" fontId="8" fillId="22" borderId="57" xfId="0" applyFont="1" applyFill="1" applyBorder="1" applyAlignment="1" applyProtection="1">
      <alignment horizontal="left" vertical="center"/>
    </xf>
    <xf numFmtId="1" fontId="7" fillId="22" borderId="57" xfId="1" applyNumberFormat="1" applyFont="1" applyFill="1" applyBorder="1" applyAlignment="1" applyProtection="1">
      <alignment horizontal="right" vertical="center"/>
    </xf>
    <xf numFmtId="1" fontId="8" fillId="8" borderId="74" xfId="1" applyNumberFormat="1" applyFont="1" applyFill="1" applyBorder="1" applyAlignment="1" applyProtection="1">
      <alignment horizontal="center" vertical="center"/>
    </xf>
    <xf numFmtId="0" fontId="8" fillId="22" borderId="59" xfId="0" applyFont="1" applyFill="1" applyBorder="1" applyAlignment="1" applyProtection="1">
      <alignment horizontal="left" vertical="center"/>
    </xf>
    <xf numFmtId="1" fontId="7" fillId="22" borderId="59" xfId="1" applyNumberFormat="1" applyFont="1" applyFill="1" applyBorder="1" applyAlignment="1" applyProtection="1">
      <alignment horizontal="right" vertical="center"/>
    </xf>
    <xf numFmtId="1" fontId="8" fillId="8" borderId="54" xfId="1" applyNumberFormat="1" applyFont="1" applyFill="1" applyBorder="1" applyAlignment="1" applyProtection="1">
      <alignment horizontal="center" vertical="center"/>
    </xf>
    <xf numFmtId="1" fontId="8" fillId="8" borderId="55" xfId="1" applyNumberFormat="1" applyFont="1" applyFill="1" applyBorder="1" applyAlignment="1" applyProtection="1">
      <alignment horizontal="center" vertical="center"/>
    </xf>
    <xf numFmtId="0" fontId="8" fillId="22" borderId="62" xfId="0" applyFont="1" applyFill="1" applyBorder="1" applyAlignment="1" applyProtection="1">
      <alignment horizontal="left" vertical="center"/>
    </xf>
    <xf numFmtId="1" fontId="8" fillId="22" borderId="59" xfId="1" applyNumberFormat="1" applyFont="1" applyFill="1" applyBorder="1" applyAlignment="1" applyProtection="1">
      <alignment horizontal="right" vertical="center"/>
    </xf>
    <xf numFmtId="0" fontId="8" fillId="22" borderId="64" xfId="0" applyFont="1" applyFill="1" applyBorder="1" applyAlignment="1" applyProtection="1">
      <alignment horizontal="left" vertical="center"/>
    </xf>
    <xf numFmtId="1" fontId="8" fillId="22" borderId="64" xfId="1" applyNumberFormat="1" applyFont="1" applyFill="1" applyBorder="1" applyAlignment="1" applyProtection="1">
      <alignment horizontal="right" vertical="center"/>
    </xf>
    <xf numFmtId="1" fontId="8" fillId="8" borderId="73" xfId="1" applyNumberFormat="1" applyFont="1" applyFill="1" applyBorder="1" applyAlignment="1" applyProtection="1">
      <alignment horizontal="center" vertical="center"/>
    </xf>
    <xf numFmtId="0" fontId="2" fillId="2" borderId="46" xfId="0" applyFont="1" applyFill="1" applyBorder="1" applyAlignment="1" applyProtection="1">
      <alignment horizontal="left" vertical="center"/>
    </xf>
    <xf numFmtId="9" fontId="2" fillId="2" borderId="46" xfId="1" applyFont="1" applyFill="1" applyBorder="1" applyAlignment="1" applyProtection="1">
      <alignment vertical="center"/>
    </xf>
    <xf numFmtId="9" fontId="3" fillId="2" borderId="80" xfId="1" applyFont="1" applyFill="1" applyBorder="1" applyAlignment="1" applyProtection="1">
      <alignment horizontal="right" vertical="center" indent="1"/>
    </xf>
    <xf numFmtId="9" fontId="2" fillId="10" borderId="54" xfId="1" applyFont="1" applyFill="1" applyBorder="1" applyAlignment="1" applyProtection="1">
      <alignment horizontal="center" vertical="center"/>
    </xf>
    <xf numFmtId="0" fontId="3" fillId="2" borderId="46"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2" fontId="3" fillId="2" borderId="0" xfId="0" applyNumberFormat="1" applyFont="1" applyFill="1" applyBorder="1" applyAlignment="1" applyProtection="1">
      <alignment horizontal="center" vertical="center"/>
    </xf>
    <xf numFmtId="9" fontId="3" fillId="2" borderId="0" xfId="1" applyFont="1" applyFill="1" applyBorder="1" applyAlignment="1" applyProtection="1">
      <alignment horizontal="center" vertical="center"/>
    </xf>
    <xf numFmtId="2" fontId="2" fillId="6" borderId="8" xfId="1" applyNumberFormat="1" applyFont="1" applyFill="1" applyBorder="1" applyAlignment="1" applyProtection="1">
      <alignment horizontal="center" vertical="center"/>
    </xf>
    <xf numFmtId="0" fontId="2" fillId="4" borderId="0" xfId="0" applyFont="1" applyFill="1" applyBorder="1" applyAlignment="1" applyProtection="1">
      <alignment horizontal="left" vertical="center"/>
    </xf>
    <xf numFmtId="0" fontId="3" fillId="4" borderId="0" xfId="0" applyFont="1" applyFill="1" applyBorder="1" applyAlignment="1" applyProtection="1">
      <alignment horizontal="left" vertical="center"/>
    </xf>
    <xf numFmtId="164" fontId="3" fillId="4" borderId="17" xfId="0" applyNumberFormat="1" applyFont="1" applyFill="1" applyBorder="1" applyAlignment="1" applyProtection="1">
      <alignment horizontal="center" vertical="center"/>
    </xf>
    <xf numFmtId="2" fontId="2" fillId="10" borderId="8" xfId="1" applyNumberFormat="1" applyFont="1" applyFill="1" applyBorder="1" applyAlignment="1" applyProtection="1">
      <alignment horizontal="center" vertical="center"/>
    </xf>
    <xf numFmtId="9" fontId="3" fillId="14" borderId="18" xfId="1" applyFont="1" applyFill="1" applyBorder="1" applyAlignment="1" applyProtection="1">
      <alignment horizontal="center" vertical="center"/>
    </xf>
    <xf numFmtId="9" fontId="3" fillId="14" borderId="84" xfId="1" applyFont="1" applyFill="1" applyBorder="1" applyAlignment="1" applyProtection="1">
      <alignment horizontal="center" vertical="center"/>
    </xf>
    <xf numFmtId="9" fontId="3" fillId="14" borderId="83" xfId="1" applyFont="1" applyFill="1" applyBorder="1" applyAlignment="1" applyProtection="1">
      <alignment horizontal="center" vertical="center"/>
    </xf>
    <xf numFmtId="2" fontId="3" fillId="17" borderId="8" xfId="1" applyNumberFormat="1" applyFont="1" applyFill="1" applyBorder="1" applyAlignment="1" applyProtection="1">
      <alignment horizontal="center" vertical="center"/>
    </xf>
    <xf numFmtId="0" fontId="2" fillId="20" borderId="0" xfId="0" applyFont="1" applyFill="1" applyBorder="1" applyAlignment="1" applyProtection="1">
      <alignment horizontal="left" vertical="center"/>
    </xf>
    <xf numFmtId="0" fontId="5" fillId="20" borderId="0" xfId="0" applyFont="1" applyFill="1" applyBorder="1" applyAlignment="1" applyProtection="1">
      <alignment horizontal="left" vertical="center"/>
    </xf>
    <xf numFmtId="164" fontId="5" fillId="20" borderId="17" xfId="0" applyNumberFormat="1" applyFont="1" applyFill="1" applyBorder="1" applyAlignment="1" applyProtection="1">
      <alignment horizontal="center" vertical="center"/>
    </xf>
    <xf numFmtId="9" fontId="10" fillId="15" borderId="18" xfId="1" applyFont="1" applyFill="1" applyBorder="1" applyAlignment="1" applyProtection="1">
      <alignment horizontal="center" vertical="center"/>
    </xf>
    <xf numFmtId="9" fontId="10" fillId="15" borderId="83" xfId="1" applyFont="1" applyFill="1" applyBorder="1" applyAlignment="1" applyProtection="1">
      <alignment horizontal="center" vertical="center"/>
    </xf>
    <xf numFmtId="0" fontId="5" fillId="19" borderId="0" xfId="0" applyFont="1" applyFill="1" applyBorder="1" applyAlignment="1" applyProtection="1">
      <alignment horizontal="left" vertical="center"/>
    </xf>
    <xf numFmtId="164" fontId="5" fillId="19" borderId="17" xfId="0" applyNumberFormat="1" applyFont="1" applyFill="1" applyBorder="1" applyAlignment="1" applyProtection="1">
      <alignment horizontal="center" vertical="center"/>
    </xf>
    <xf numFmtId="9" fontId="10" fillId="7" borderId="18" xfId="1" applyFont="1" applyFill="1" applyBorder="1" applyAlignment="1" applyProtection="1">
      <alignment horizontal="center" vertical="center"/>
    </xf>
    <xf numFmtId="9" fontId="10" fillId="7" borderId="83" xfId="1" applyFont="1" applyFill="1" applyBorder="1" applyAlignment="1" applyProtection="1">
      <alignment horizontal="center" vertical="center"/>
    </xf>
    <xf numFmtId="0" fontId="5" fillId="9" borderId="43" xfId="0" applyFont="1" applyFill="1" applyBorder="1" applyAlignment="1" applyProtection="1">
      <alignment horizontal="left" vertical="center"/>
    </xf>
    <xf numFmtId="164" fontId="5" fillId="9" borderId="44" xfId="0" applyNumberFormat="1" applyFont="1" applyFill="1" applyBorder="1" applyAlignment="1" applyProtection="1">
      <alignment horizontal="center" vertical="center"/>
    </xf>
    <xf numFmtId="9" fontId="10" fillId="16" borderId="50" xfId="1" applyFont="1" applyFill="1" applyBorder="1" applyAlignment="1" applyProtection="1">
      <alignment horizontal="center" vertical="center"/>
    </xf>
    <xf numFmtId="9" fontId="10" fillId="16" borderId="85" xfId="1" applyFont="1" applyFill="1" applyBorder="1" applyAlignment="1" applyProtection="1">
      <alignment horizontal="center" vertical="center"/>
    </xf>
    <xf numFmtId="9" fontId="10" fillId="16" borderId="88" xfId="1" applyFont="1" applyFill="1" applyBorder="1" applyAlignment="1" applyProtection="1">
      <alignment horizontal="center" vertical="center"/>
    </xf>
    <xf numFmtId="0" fontId="5" fillId="9" borderId="46" xfId="0" applyFont="1" applyFill="1" applyBorder="1" applyAlignment="1" applyProtection="1">
      <alignment horizontal="left" vertical="center"/>
    </xf>
    <xf numFmtId="9" fontId="10" fillId="16" borderId="51" xfId="1" applyFont="1" applyFill="1" applyBorder="1" applyAlignment="1" applyProtection="1">
      <alignment horizontal="center" vertical="center"/>
    </xf>
    <xf numFmtId="9" fontId="10" fillId="16" borderId="86" xfId="1" applyFont="1" applyFill="1" applyBorder="1" applyAlignment="1" applyProtection="1">
      <alignment horizontal="center" vertical="center"/>
    </xf>
    <xf numFmtId="9" fontId="10" fillId="16" borderId="89" xfId="1" applyFont="1" applyFill="1" applyBorder="1" applyAlignment="1" applyProtection="1">
      <alignment horizontal="center" vertical="center"/>
    </xf>
    <xf numFmtId="0" fontId="5" fillId="9" borderId="48" xfId="0" applyFont="1" applyFill="1" applyBorder="1" applyAlignment="1" applyProtection="1">
      <alignment horizontal="left" vertical="center"/>
    </xf>
    <xf numFmtId="164" fontId="5" fillId="9" borderId="49" xfId="0" applyNumberFormat="1" applyFont="1" applyFill="1" applyBorder="1" applyAlignment="1" applyProtection="1">
      <alignment horizontal="center" vertical="center"/>
    </xf>
    <xf numFmtId="9" fontId="10" fillId="16" borderId="52" xfId="1" applyFont="1" applyFill="1" applyBorder="1" applyAlignment="1" applyProtection="1">
      <alignment horizontal="center" vertical="center"/>
    </xf>
    <xf numFmtId="9" fontId="10" fillId="16" borderId="87" xfId="1" applyFont="1" applyFill="1" applyBorder="1" applyAlignment="1" applyProtection="1">
      <alignment horizontal="center" vertical="center"/>
    </xf>
    <xf numFmtId="9" fontId="10" fillId="16" borderId="90" xfId="1" applyFont="1" applyFill="1" applyBorder="1" applyAlignment="1" applyProtection="1">
      <alignment horizontal="center" vertical="center"/>
    </xf>
    <xf numFmtId="0" fontId="5" fillId="9" borderId="48" xfId="0" applyFont="1" applyFill="1" applyBorder="1" applyAlignment="1" applyProtection="1">
      <alignment vertical="center"/>
    </xf>
    <xf numFmtId="9" fontId="5" fillId="16" borderId="52" xfId="1" applyFont="1" applyFill="1" applyBorder="1" applyAlignment="1" applyProtection="1">
      <alignment horizontal="center" vertical="center"/>
    </xf>
    <xf numFmtId="9" fontId="5" fillId="16" borderId="87" xfId="1" applyFont="1" applyFill="1" applyBorder="1" applyAlignment="1" applyProtection="1">
      <alignment horizontal="center" vertical="center"/>
    </xf>
    <xf numFmtId="9" fontId="5" fillId="16" borderId="90" xfId="1" applyFont="1" applyFill="1" applyBorder="1" applyAlignment="1" applyProtection="1">
      <alignment horizontal="center" vertical="center"/>
    </xf>
    <xf numFmtId="0" fontId="9" fillId="0" borderId="0" xfId="0" applyFont="1" applyProtection="1"/>
    <xf numFmtId="0" fontId="5" fillId="9" borderId="46" xfId="0" applyFont="1" applyFill="1" applyBorder="1" applyAlignment="1" applyProtection="1">
      <alignment vertical="center"/>
    </xf>
    <xf numFmtId="0" fontId="5" fillId="19" borderId="48" xfId="0" applyFont="1" applyFill="1" applyBorder="1" applyAlignment="1" applyProtection="1">
      <alignment horizontal="left" vertical="center"/>
    </xf>
    <xf numFmtId="164" fontId="5" fillId="19" borderId="49" xfId="0" applyNumberFormat="1" applyFont="1" applyFill="1" applyBorder="1" applyAlignment="1" applyProtection="1">
      <alignment horizontal="center" vertical="center"/>
    </xf>
    <xf numFmtId="9" fontId="4" fillId="0" borderId="0" xfId="0" applyNumberFormat="1" applyFont="1" applyBorder="1" applyProtection="1"/>
    <xf numFmtId="9" fontId="5" fillId="16" borderId="51" xfId="1" applyFont="1" applyFill="1" applyBorder="1" applyAlignment="1" applyProtection="1">
      <alignment horizontal="center" vertical="center"/>
    </xf>
    <xf numFmtId="9" fontId="5" fillId="16" borderId="86" xfId="1" applyFont="1" applyFill="1" applyBorder="1" applyAlignment="1" applyProtection="1">
      <alignment horizontal="center" vertical="center"/>
    </xf>
    <xf numFmtId="9" fontId="10" fillId="16" borderId="83" xfId="1" applyFont="1" applyFill="1" applyBorder="1" applyAlignment="1" applyProtection="1">
      <alignment horizontal="center" vertical="center"/>
    </xf>
    <xf numFmtId="0" fontId="3" fillId="2" borderId="6" xfId="0" applyFont="1" applyFill="1" applyBorder="1" applyAlignment="1" applyProtection="1">
      <alignment horizontal="left" vertical="center"/>
    </xf>
    <xf numFmtId="2" fontId="3" fillId="2" borderId="6" xfId="0" applyNumberFormat="1" applyFont="1" applyFill="1" applyBorder="1" applyAlignment="1" applyProtection="1">
      <alignment horizontal="center" vertical="center"/>
    </xf>
    <xf numFmtId="9" fontId="3" fillId="2" borderId="92" xfId="1" applyFont="1" applyFill="1" applyBorder="1" applyAlignment="1" applyProtection="1">
      <alignment horizontal="center" vertical="center"/>
    </xf>
    <xf numFmtId="164" fontId="4" fillId="0" borderId="0" xfId="0" applyNumberFormat="1" applyFont="1" applyAlignment="1" applyProtection="1">
      <alignment horizontal="center" vertical="center"/>
    </xf>
    <xf numFmtId="9" fontId="4" fillId="0" borderId="0" xfId="1" applyFont="1" applyBorder="1" applyAlignment="1" applyProtection="1">
      <alignment horizontal="center" vertical="center"/>
    </xf>
    <xf numFmtId="2" fontId="4" fillId="0" borderId="0" xfId="1" applyNumberFormat="1" applyFont="1" applyBorder="1" applyAlignment="1" applyProtection="1">
      <alignment horizontal="center" vertical="center"/>
    </xf>
    <xf numFmtId="0" fontId="8" fillId="3" borderId="59" xfId="0" applyFont="1" applyFill="1" applyBorder="1" applyAlignment="1" applyProtection="1">
      <alignment horizontal="left" vertical="center"/>
      <protection locked="0"/>
    </xf>
    <xf numFmtId="0" fontId="3" fillId="3" borderId="0" xfId="0" applyFont="1" applyFill="1" applyBorder="1" applyAlignment="1" applyProtection="1">
      <alignment horizontal="center"/>
    </xf>
    <xf numFmtId="0" fontId="3" fillId="3" borderId="0" xfId="0" applyFont="1" applyFill="1" applyBorder="1" applyProtection="1"/>
    <xf numFmtId="0" fontId="14" fillId="0" borderId="0" xfId="0" applyFont="1" applyBorder="1" applyProtection="1"/>
    <xf numFmtId="0" fontId="13" fillId="3" borderId="0" xfId="0" applyFont="1" applyFill="1" applyBorder="1" applyAlignment="1" applyProtection="1">
      <alignment horizontal="center"/>
    </xf>
    <xf numFmtId="0" fontId="2" fillId="3" borderId="0" xfId="0" applyFont="1" applyFill="1" applyBorder="1" applyProtection="1"/>
    <xf numFmtId="0" fontId="2" fillId="3" borderId="0" xfId="0" applyFont="1" applyFill="1" applyBorder="1" applyAlignment="1" applyProtection="1"/>
    <xf numFmtId="0" fontId="15" fillId="3" borderId="0" xfId="0" applyFont="1" applyFill="1" applyBorder="1" applyAlignment="1" applyProtection="1">
      <alignment horizontal="center"/>
    </xf>
    <xf numFmtId="0" fontId="2" fillId="3" borderId="0" xfId="0" applyFont="1" applyFill="1" applyBorder="1" applyAlignment="1" applyProtection="1">
      <alignment horizontal="center"/>
    </xf>
    <xf numFmtId="0" fontId="9" fillId="0" borderId="0" xfId="0" applyFont="1" applyBorder="1" applyProtection="1"/>
    <xf numFmtId="2" fontId="16" fillId="11" borderId="8" xfId="1" applyNumberFormat="1" applyFont="1" applyFill="1" applyBorder="1" applyAlignment="1" applyProtection="1">
      <alignment horizontal="center" vertical="center"/>
    </xf>
    <xf numFmtId="2" fontId="16" fillId="12" borderId="8" xfId="1" applyNumberFormat="1" applyFont="1" applyFill="1" applyBorder="1" applyAlignment="1" applyProtection="1">
      <alignment horizontal="center" vertical="center"/>
    </xf>
    <xf numFmtId="2" fontId="16" fillId="8" borderId="53" xfId="1" applyNumberFormat="1" applyFont="1" applyFill="1" applyBorder="1" applyAlignment="1" applyProtection="1">
      <alignment horizontal="center" vertical="center"/>
    </xf>
    <xf numFmtId="2" fontId="16" fillId="8" borderId="54" xfId="1" applyNumberFormat="1" applyFont="1" applyFill="1" applyBorder="1" applyAlignment="1" applyProtection="1">
      <alignment horizontal="center" vertical="center"/>
    </xf>
    <xf numFmtId="2" fontId="16" fillId="8" borderId="55" xfId="1" applyNumberFormat="1" applyFont="1" applyFill="1" applyBorder="1" applyAlignment="1" applyProtection="1">
      <alignment horizontal="center" vertical="center"/>
    </xf>
    <xf numFmtId="2" fontId="16" fillId="8" borderId="8" xfId="1" applyNumberFormat="1" applyFont="1" applyFill="1" applyBorder="1" applyAlignment="1" applyProtection="1">
      <alignment horizontal="center" vertical="center"/>
    </xf>
    <xf numFmtId="9" fontId="8" fillId="22" borderId="67" xfId="1" applyFont="1" applyFill="1" applyBorder="1" applyAlignment="1" applyProtection="1">
      <alignment horizontal="center" vertical="center"/>
    </xf>
    <xf numFmtId="9" fontId="8" fillId="3" borderId="106" xfId="1" applyFont="1" applyFill="1" applyBorder="1" applyAlignment="1" applyProtection="1">
      <alignment horizontal="center" vertical="center"/>
      <protection locked="0"/>
    </xf>
    <xf numFmtId="1" fontId="8" fillId="8" borderId="53" xfId="1" applyNumberFormat="1" applyFont="1" applyFill="1" applyBorder="1" applyAlignment="1" applyProtection="1">
      <alignment horizontal="center" vertical="center"/>
    </xf>
    <xf numFmtId="0" fontId="8" fillId="22" borderId="108" xfId="0" applyFont="1" applyFill="1" applyBorder="1" applyAlignment="1" applyProtection="1">
      <alignment horizontal="left" vertical="center"/>
    </xf>
    <xf numFmtId="9" fontId="7" fillId="22" borderId="109" xfId="1" quotePrefix="1" applyFont="1" applyFill="1" applyBorder="1" applyAlignment="1" applyProtection="1">
      <alignment horizontal="right" vertical="center"/>
    </xf>
    <xf numFmtId="0" fontId="7" fillId="22" borderId="62" xfId="0" applyFont="1" applyFill="1" applyBorder="1" applyAlignment="1" applyProtection="1">
      <alignment horizontal="left" vertical="center"/>
    </xf>
    <xf numFmtId="9" fontId="7" fillId="22" borderId="62" xfId="1" quotePrefix="1" applyFont="1" applyFill="1" applyBorder="1" applyAlignment="1" applyProtection="1">
      <alignment horizontal="right" vertical="center"/>
    </xf>
    <xf numFmtId="9" fontId="8" fillId="22" borderId="110" xfId="1" applyFont="1" applyFill="1" applyBorder="1" applyAlignment="1" applyProtection="1">
      <alignment horizontal="center" vertical="center"/>
    </xf>
    <xf numFmtId="1" fontId="12" fillId="22" borderId="111" xfId="1" applyNumberFormat="1" applyFont="1" applyFill="1" applyBorder="1" applyAlignment="1" applyProtection="1">
      <alignment horizontal="left" vertical="center" indent="1"/>
    </xf>
    <xf numFmtId="1" fontId="3" fillId="22" borderId="111" xfId="1" applyNumberFormat="1" applyFont="1" applyFill="1" applyBorder="1" applyAlignment="1" applyProtection="1">
      <alignment horizontal="center" vertical="center"/>
    </xf>
    <xf numFmtId="1" fontId="3" fillId="22" borderId="112" xfId="1" applyNumberFormat="1" applyFont="1" applyFill="1" applyBorder="1" applyAlignment="1" applyProtection="1">
      <alignment horizontal="center" vertical="center"/>
    </xf>
    <xf numFmtId="1" fontId="12" fillId="8" borderId="113" xfId="1" applyNumberFormat="1" applyFont="1" applyFill="1" applyBorder="1" applyAlignment="1" applyProtection="1">
      <alignment horizontal="center" vertical="center"/>
    </xf>
    <xf numFmtId="0" fontId="18" fillId="0" borderId="0" xfId="0" applyFont="1" applyBorder="1" applyProtection="1"/>
    <xf numFmtId="0" fontId="7" fillId="0" borderId="0" xfId="0" applyFont="1" applyBorder="1" applyProtection="1"/>
    <xf numFmtId="0" fontId="19" fillId="0" borderId="0" xfId="0" applyFont="1" applyBorder="1" applyProtection="1"/>
    <xf numFmtId="2" fontId="17" fillId="17" borderId="54" xfId="0" applyNumberFormat="1" applyFont="1" applyFill="1" applyBorder="1" applyAlignment="1" applyProtection="1">
      <alignment horizontal="center" vertical="center"/>
    </xf>
    <xf numFmtId="9" fontId="8" fillId="3" borderId="114" xfId="1" applyFont="1" applyFill="1" applyBorder="1" applyAlignment="1" applyProtection="1">
      <alignment horizontal="center" vertical="center"/>
      <protection locked="0"/>
    </xf>
    <xf numFmtId="9" fontId="8" fillId="3" borderId="115" xfId="1" applyFont="1" applyFill="1" applyBorder="1" applyAlignment="1" applyProtection="1">
      <alignment horizontal="center" vertical="center"/>
      <protection locked="0"/>
    </xf>
    <xf numFmtId="9" fontId="8" fillId="3" borderId="116" xfId="1" applyFont="1" applyFill="1" applyBorder="1" applyAlignment="1" applyProtection="1">
      <alignment horizontal="center" vertical="center"/>
      <protection locked="0"/>
    </xf>
    <xf numFmtId="9" fontId="8" fillId="3" borderId="117" xfId="1" applyFont="1" applyFill="1" applyBorder="1" applyAlignment="1" applyProtection="1">
      <alignment horizontal="center" vertical="center"/>
      <protection locked="0"/>
    </xf>
    <xf numFmtId="9" fontId="8" fillId="3" borderId="118" xfId="1" applyFont="1" applyFill="1" applyBorder="1" applyAlignment="1" applyProtection="1">
      <alignment horizontal="center" vertical="center"/>
      <protection locked="0"/>
    </xf>
    <xf numFmtId="9" fontId="8" fillId="3" borderId="119" xfId="1" applyFont="1" applyFill="1" applyBorder="1" applyAlignment="1" applyProtection="1">
      <alignment horizontal="center" vertical="center"/>
      <protection locked="0"/>
    </xf>
    <xf numFmtId="9" fontId="20" fillId="14" borderId="3" xfId="1" applyFont="1" applyFill="1" applyBorder="1" applyAlignment="1" applyProtection="1">
      <alignment horizontal="center" vertical="center"/>
    </xf>
    <xf numFmtId="0" fontId="3" fillId="14" borderId="4" xfId="0" applyFont="1" applyFill="1" applyBorder="1" applyAlignment="1" applyProtection="1">
      <alignment horizontal="right" vertical="center" indent="1"/>
    </xf>
    <xf numFmtId="0" fontId="3" fillId="13" borderId="4" xfId="0" applyFont="1" applyFill="1" applyBorder="1" applyAlignment="1" applyProtection="1">
      <alignment horizontal="right" vertical="center" indent="1"/>
    </xf>
    <xf numFmtId="0" fontId="8" fillId="22" borderId="56" xfId="0" applyFont="1" applyFill="1" applyBorder="1" applyAlignment="1" applyProtection="1">
      <alignment horizontal="right" vertical="center" indent="1"/>
    </xf>
    <xf numFmtId="0" fontId="8" fillId="22" borderId="58" xfId="0" applyFont="1" applyFill="1" applyBorder="1" applyAlignment="1" applyProtection="1">
      <alignment horizontal="right" vertical="center" indent="1"/>
    </xf>
    <xf numFmtId="0" fontId="8" fillId="22" borderId="107" xfId="0" applyFont="1" applyFill="1" applyBorder="1" applyAlignment="1" applyProtection="1">
      <alignment horizontal="right" vertical="center" indent="1"/>
    </xf>
    <xf numFmtId="0" fontId="7" fillId="22" borderId="61" xfId="0" applyFont="1" applyFill="1" applyBorder="1" applyAlignment="1" applyProtection="1">
      <alignment horizontal="right" vertical="center" indent="1"/>
    </xf>
    <xf numFmtId="0" fontId="7" fillId="22" borderId="68" xfId="0" applyFont="1" applyFill="1" applyBorder="1" applyAlignment="1" applyProtection="1">
      <alignment horizontal="right" vertical="center" indent="1"/>
    </xf>
    <xf numFmtId="0" fontId="8" fillId="22" borderId="61" xfId="0" applyFont="1" applyFill="1" applyBorder="1" applyAlignment="1" applyProtection="1">
      <alignment horizontal="right" vertical="center" indent="1"/>
    </xf>
    <xf numFmtId="0" fontId="8" fillId="22" borderId="63" xfId="0" applyFont="1" applyFill="1" applyBorder="1" applyAlignment="1" applyProtection="1">
      <alignment horizontal="right" vertical="center" indent="1"/>
    </xf>
    <xf numFmtId="0" fontId="2" fillId="2" borderId="2" xfId="0" applyFont="1" applyFill="1" applyBorder="1" applyAlignment="1" applyProtection="1">
      <alignment horizontal="right" vertical="center" indent="1"/>
    </xf>
    <xf numFmtId="0" fontId="2" fillId="2" borderId="4" xfId="0" applyFont="1" applyFill="1" applyBorder="1" applyAlignment="1" applyProtection="1">
      <alignment horizontal="right" vertical="center" indent="1"/>
    </xf>
    <xf numFmtId="0" fontId="3" fillId="2" borderId="4" xfId="0" applyFont="1" applyFill="1" applyBorder="1" applyAlignment="1" applyProtection="1">
      <alignment horizontal="right" vertical="center" indent="1"/>
    </xf>
    <xf numFmtId="0" fontId="2" fillId="4" borderId="4" xfId="0" applyFont="1" applyFill="1" applyBorder="1" applyAlignment="1" applyProtection="1">
      <alignment horizontal="right" vertical="center" indent="1"/>
    </xf>
    <xf numFmtId="0" fontId="3" fillId="4" borderId="4" xfId="0" applyFont="1" applyFill="1" applyBorder="1" applyAlignment="1" applyProtection="1">
      <alignment horizontal="right" vertical="center" indent="1"/>
    </xf>
    <xf numFmtId="0" fontId="5" fillId="20" borderId="4" xfId="0" applyFont="1" applyFill="1" applyBorder="1" applyAlignment="1" applyProtection="1">
      <alignment horizontal="right" vertical="center" indent="1"/>
    </xf>
    <xf numFmtId="0" fontId="5" fillId="19" borderId="4" xfId="0" applyFont="1" applyFill="1" applyBorder="1" applyAlignment="1" applyProtection="1">
      <alignment horizontal="right" vertical="center" indent="1"/>
    </xf>
    <xf numFmtId="0" fontId="5" fillId="9" borderId="42" xfId="0" applyFont="1" applyFill="1" applyBorder="1" applyAlignment="1" applyProtection="1">
      <alignment horizontal="right" vertical="center" indent="1"/>
    </xf>
    <xf numFmtId="0" fontId="5" fillId="9" borderId="45" xfId="0" applyFont="1" applyFill="1" applyBorder="1" applyAlignment="1" applyProtection="1">
      <alignment horizontal="right" vertical="center" indent="1"/>
    </xf>
    <xf numFmtId="0" fontId="5" fillId="9" borderId="47" xfId="0" applyFont="1" applyFill="1" applyBorder="1" applyAlignment="1" applyProtection="1">
      <alignment horizontal="right" vertical="center" indent="1"/>
    </xf>
    <xf numFmtId="0" fontId="5" fillId="19" borderId="47" xfId="0" applyFont="1" applyFill="1" applyBorder="1" applyAlignment="1" applyProtection="1">
      <alignment horizontal="right" vertical="center" indent="1"/>
    </xf>
    <xf numFmtId="0" fontId="3" fillId="2" borderId="5" xfId="0" applyFont="1" applyFill="1" applyBorder="1" applyAlignment="1" applyProtection="1">
      <alignment horizontal="right" vertical="center" indent="1"/>
    </xf>
    <xf numFmtId="0" fontId="4" fillId="0" borderId="0" xfId="0" applyFont="1" applyAlignment="1" applyProtection="1">
      <alignment horizontal="right" vertical="center" indent="1"/>
    </xf>
    <xf numFmtId="0" fontId="3" fillId="0" borderId="0" xfId="0" applyFont="1" applyBorder="1" applyAlignment="1" applyProtection="1">
      <alignment horizontal="center"/>
    </xf>
    <xf numFmtId="0" fontId="3" fillId="0" borderId="0" xfId="0" applyFont="1" applyBorder="1" applyProtection="1"/>
    <xf numFmtId="0" fontId="15" fillId="0" borderId="0" xfId="0" applyFont="1" applyProtection="1"/>
    <xf numFmtId="0" fontId="15" fillId="0" borderId="0" xfId="0" applyFont="1" applyBorder="1" applyAlignment="1" applyProtection="1">
      <alignment horizontal="center"/>
    </xf>
    <xf numFmtId="0" fontId="15" fillId="0" borderId="0" xfId="0" applyFont="1" applyBorder="1" applyProtection="1"/>
    <xf numFmtId="0" fontId="2" fillId="0" borderId="0" xfId="0" applyFont="1" applyBorder="1" applyAlignment="1" applyProtection="1">
      <alignment horizontal="center"/>
    </xf>
    <xf numFmtId="0" fontId="2" fillId="0" borderId="0" xfId="0" applyFont="1" applyBorder="1" applyProtection="1"/>
    <xf numFmtId="0" fontId="13" fillId="0" borderId="0" xfId="0" applyFont="1" applyProtection="1"/>
    <xf numFmtId="0" fontId="2" fillId="3" borderId="0" xfId="0" applyFont="1" applyFill="1" applyBorder="1" applyAlignment="1" applyProtection="1">
      <alignment horizontal="left"/>
    </xf>
    <xf numFmtId="0" fontId="13" fillId="3" borderId="0" xfId="0" applyFont="1" applyFill="1" applyBorder="1" applyProtection="1"/>
    <xf numFmtId="9" fontId="3" fillId="3" borderId="0" xfId="1" applyFont="1" applyFill="1" applyBorder="1" applyProtection="1"/>
    <xf numFmtId="9" fontId="3" fillId="0" borderId="0" xfId="0" applyNumberFormat="1" applyFont="1" applyBorder="1" applyProtection="1"/>
    <xf numFmtId="0" fontId="7" fillId="0" borderId="0" xfId="0" applyFont="1" applyProtection="1"/>
    <xf numFmtId="0" fontId="18" fillId="0" borderId="0" xfId="0" applyFont="1" applyProtection="1"/>
    <xf numFmtId="0" fontId="19" fillId="0" borderId="0" xfId="0" applyFont="1" applyProtection="1"/>
    <xf numFmtId="9" fontId="3" fillId="14" borderId="91" xfId="1" applyFont="1" applyFill="1" applyBorder="1" applyAlignment="1" applyProtection="1">
      <alignment horizontal="right" vertical="center"/>
    </xf>
    <xf numFmtId="0" fontId="21" fillId="0" borderId="20" xfId="0" applyFont="1" applyBorder="1" applyAlignment="1">
      <alignment horizontal="left" vertical="top" wrapText="1"/>
    </xf>
    <xf numFmtId="0" fontId="21" fillId="0" borderId="22" xfId="0" applyFont="1" applyBorder="1" applyAlignment="1">
      <alignment horizontal="center" vertical="top" wrapText="1"/>
    </xf>
    <xf numFmtId="0" fontId="21" fillId="0" borderId="23" xfId="0" applyFont="1" applyBorder="1" applyAlignment="1">
      <alignment horizontal="center" vertical="top" wrapText="1"/>
    </xf>
    <xf numFmtId="0" fontId="21" fillId="0" borderId="24" xfId="0" applyFont="1" applyBorder="1" applyAlignment="1">
      <alignment horizontal="center" vertical="top" wrapText="1"/>
    </xf>
    <xf numFmtId="0" fontId="21" fillId="0" borderId="23" xfId="0" applyFont="1" applyBorder="1" applyAlignment="1">
      <alignment horizontal="left" vertical="top" wrapText="1"/>
    </xf>
    <xf numFmtId="0" fontId="21" fillId="0" borderId="15" xfId="0" applyFont="1" applyBorder="1" applyAlignment="1">
      <alignment horizontal="left" vertical="top" wrapText="1"/>
    </xf>
    <xf numFmtId="0" fontId="21" fillId="0" borderId="28" xfId="0" applyFont="1" applyBorder="1" applyAlignment="1">
      <alignment horizontal="center" vertical="top" wrapText="1"/>
    </xf>
    <xf numFmtId="0" fontId="21" fillId="0" borderId="29" xfId="0" applyFont="1" applyBorder="1" applyAlignment="1">
      <alignment horizontal="center" vertical="top" wrapText="1"/>
    </xf>
    <xf numFmtId="0" fontId="21" fillId="0" borderId="30" xfId="0" applyFont="1" applyBorder="1" applyAlignment="1">
      <alignment horizontal="center" vertical="top" wrapText="1"/>
    </xf>
    <xf numFmtId="0" fontId="21" fillId="0" borderId="29" xfId="0" applyFont="1" applyBorder="1" applyAlignment="1">
      <alignment horizontal="left" vertical="top" wrapText="1"/>
    </xf>
    <xf numFmtId="0" fontId="21" fillId="0" borderId="25" xfId="0" applyFont="1" applyBorder="1" applyAlignment="1">
      <alignment horizontal="center" vertical="top" wrapText="1"/>
    </xf>
    <xf numFmtId="0" fontId="21" fillId="0" borderId="26" xfId="0" applyFont="1" applyBorder="1" applyAlignment="1">
      <alignment horizontal="center" vertical="top" wrapText="1"/>
    </xf>
    <xf numFmtId="0" fontId="21" fillId="0" borderId="27" xfId="0" applyFont="1" applyBorder="1" applyAlignment="1">
      <alignment horizontal="center" vertical="top" wrapText="1"/>
    </xf>
    <xf numFmtId="0" fontId="21" fillId="0" borderId="26" xfId="0" applyFont="1" applyBorder="1" applyAlignment="1">
      <alignment horizontal="left" vertical="top" wrapText="1"/>
    </xf>
    <xf numFmtId="0" fontId="21" fillId="0" borderId="31" xfId="0" applyFont="1" applyBorder="1" applyAlignment="1">
      <alignment horizontal="center" vertical="top" wrapText="1"/>
    </xf>
    <xf numFmtId="0" fontId="21" fillId="0" borderId="32" xfId="0" applyFont="1" applyBorder="1" applyAlignment="1">
      <alignment horizontal="center" vertical="top" wrapText="1"/>
    </xf>
    <xf numFmtId="0" fontId="21" fillId="0" borderId="33" xfId="0" applyFont="1" applyBorder="1" applyAlignment="1">
      <alignment horizontal="center" vertical="top" wrapText="1"/>
    </xf>
    <xf numFmtId="0" fontId="21" fillId="0" borderId="32" xfId="0" applyFont="1" applyBorder="1" applyAlignment="1">
      <alignment horizontal="left" vertical="top" wrapText="1"/>
    </xf>
    <xf numFmtId="0" fontId="21" fillId="0" borderId="34" xfId="0" applyFont="1" applyBorder="1" applyAlignment="1">
      <alignment horizontal="center" vertical="top" wrapText="1"/>
    </xf>
    <xf numFmtId="0" fontId="21" fillId="0" borderId="35" xfId="0" applyFont="1" applyBorder="1" applyAlignment="1">
      <alignment horizontal="center" vertical="top" wrapText="1"/>
    </xf>
    <xf numFmtId="0" fontId="21" fillId="0" borderId="34" xfId="0" applyFont="1" applyBorder="1" applyAlignment="1">
      <alignment horizontal="left" vertical="top" wrapText="1"/>
    </xf>
    <xf numFmtId="0" fontId="21" fillId="0" borderId="36" xfId="0" applyFont="1" applyBorder="1" applyAlignment="1">
      <alignment horizontal="center" vertical="top" wrapText="1"/>
    </xf>
    <xf numFmtId="0" fontId="21" fillId="0" borderId="37" xfId="0" applyFont="1" applyBorder="1" applyAlignment="1">
      <alignment horizontal="center" vertical="top" wrapText="1"/>
    </xf>
    <xf numFmtId="0" fontId="21" fillId="0" borderId="38" xfId="0" applyFont="1" applyBorder="1" applyAlignment="1">
      <alignment horizontal="center" vertical="top" wrapText="1"/>
    </xf>
    <xf numFmtId="0" fontId="21" fillId="0" borderId="37" xfId="0" applyFont="1" applyBorder="1" applyAlignment="1">
      <alignment horizontal="left" vertical="top" wrapText="1"/>
    </xf>
    <xf numFmtId="0" fontId="21" fillId="0" borderId="39" xfId="0" applyFont="1" applyBorder="1" applyAlignment="1">
      <alignment horizontal="center" vertical="top" wrapText="1"/>
    </xf>
    <xf numFmtId="0" fontId="21" fillId="0" borderId="40" xfId="0" applyFont="1" applyBorder="1" applyAlignment="1">
      <alignment horizontal="center" vertical="top" wrapText="1"/>
    </xf>
    <xf numFmtId="0" fontId="21" fillId="0" borderId="41" xfId="0" applyFont="1" applyBorder="1" applyAlignment="1">
      <alignment horizontal="center" vertical="top" wrapText="1"/>
    </xf>
    <xf numFmtId="0" fontId="21" fillId="0" borderId="40" xfId="0" applyFont="1" applyBorder="1" applyAlignment="1">
      <alignment horizontal="left" vertical="top" wrapText="1"/>
    </xf>
    <xf numFmtId="0" fontId="21" fillId="5" borderId="0" xfId="0" applyFont="1" applyFill="1" applyBorder="1" applyAlignment="1">
      <alignment horizontal="center" vertical="top" wrapText="1"/>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left" vertical="top"/>
    </xf>
    <xf numFmtId="0" fontId="21" fillId="0" borderId="0" xfId="0" applyFont="1" applyAlignment="1">
      <alignment horizontal="center" vertical="top"/>
    </xf>
    <xf numFmtId="0" fontId="23" fillId="0" borderId="0" xfId="0" applyFont="1" applyAlignment="1">
      <alignment vertical="top"/>
    </xf>
    <xf numFmtId="0" fontId="24" fillId="5" borderId="19" xfId="0" applyFont="1" applyFill="1" applyBorder="1" applyAlignment="1">
      <alignment horizontal="center" vertical="top" wrapText="1"/>
    </xf>
    <xf numFmtId="0" fontId="24" fillId="0" borderId="0" xfId="0" applyFont="1" applyAlignment="1">
      <alignment vertical="top"/>
    </xf>
    <xf numFmtId="0" fontId="21" fillId="0" borderId="0" xfId="0" applyFont="1" applyBorder="1" applyAlignment="1">
      <alignment vertical="top"/>
    </xf>
    <xf numFmtId="0" fontId="24" fillId="18" borderId="21" xfId="0" applyFont="1" applyFill="1" applyBorder="1" applyAlignment="1">
      <alignment horizontal="left" vertical="center" wrapText="1"/>
    </xf>
    <xf numFmtId="0" fontId="24" fillId="18" borderId="25" xfId="0" applyFont="1" applyFill="1" applyBorder="1" applyAlignment="1">
      <alignment horizontal="center" vertical="center" wrapText="1"/>
    </xf>
    <xf numFmtId="0" fontId="24" fillId="18" borderId="26" xfId="0" applyFont="1" applyFill="1" applyBorder="1" applyAlignment="1">
      <alignment horizontal="center" vertical="center" wrapText="1"/>
    </xf>
    <xf numFmtId="0" fontId="24" fillId="18" borderId="27" xfId="0" applyFont="1" applyFill="1" applyBorder="1" applyAlignment="1">
      <alignment horizontal="center" vertical="center" wrapText="1"/>
    </xf>
    <xf numFmtId="0" fontId="24" fillId="18" borderId="26" xfId="0" applyFont="1" applyFill="1" applyBorder="1" applyAlignment="1">
      <alignment horizontal="left" vertical="center" wrapText="1"/>
    </xf>
    <xf numFmtId="0" fontId="24" fillId="0" borderId="0" xfId="0" applyFont="1" applyAlignment="1">
      <alignment vertical="center"/>
    </xf>
    <xf numFmtId="0" fontId="24" fillId="18" borderId="15" xfId="0" applyFont="1" applyFill="1" applyBorder="1" applyAlignment="1">
      <alignment horizontal="left" vertical="center" wrapText="1"/>
    </xf>
    <xf numFmtId="0" fontId="24" fillId="18" borderId="124" xfId="0" applyFont="1" applyFill="1" applyBorder="1" applyAlignment="1">
      <alignment horizontal="center" vertical="center" textRotation="90" wrapText="1"/>
    </xf>
    <xf numFmtId="0" fontId="24" fillId="18" borderId="125" xfId="0" applyFont="1" applyFill="1" applyBorder="1" applyAlignment="1">
      <alignment horizontal="center" vertical="center" textRotation="90" wrapText="1"/>
    </xf>
    <xf numFmtId="0" fontId="24" fillId="18" borderId="126" xfId="0" applyFont="1" applyFill="1" applyBorder="1" applyAlignment="1">
      <alignment horizontal="center" vertical="center" textRotation="90" wrapText="1"/>
    </xf>
    <xf numFmtId="0" fontId="21" fillId="0" borderId="124" xfId="0" applyFont="1" applyFill="1" applyBorder="1" applyAlignment="1">
      <alignment horizontal="center" vertical="center" wrapText="1"/>
    </xf>
    <xf numFmtId="0" fontId="21" fillId="0" borderId="126" xfId="0" applyFont="1" applyFill="1" applyBorder="1" applyAlignment="1">
      <alignment horizontal="center" vertical="center" wrapText="1"/>
    </xf>
    <xf numFmtId="0" fontId="21" fillId="0" borderId="125" xfId="0" applyFont="1" applyFill="1" applyBorder="1" applyAlignment="1">
      <alignment horizontal="center" vertical="center" wrapText="1"/>
    </xf>
    <xf numFmtId="0" fontId="21" fillId="0" borderId="127" xfId="0" applyFont="1" applyFill="1" applyBorder="1" applyAlignment="1">
      <alignment horizontal="center" vertical="center" wrapText="1"/>
    </xf>
    <xf numFmtId="0" fontId="21" fillId="0" borderId="128" xfId="0" applyFont="1" applyFill="1" applyBorder="1" applyAlignment="1">
      <alignment horizontal="center" vertical="center" wrapText="1"/>
    </xf>
    <xf numFmtId="0" fontId="21" fillId="0" borderId="129" xfId="0" applyFont="1" applyFill="1" applyBorder="1" applyAlignment="1">
      <alignment horizontal="center" vertical="center" wrapText="1"/>
    </xf>
    <xf numFmtId="0" fontId="24" fillId="18" borderId="124" xfId="0" applyFont="1" applyFill="1" applyBorder="1" applyAlignment="1">
      <alignment horizontal="left" vertical="center" wrapText="1"/>
    </xf>
    <xf numFmtId="0" fontId="24" fillId="18" borderId="126" xfId="0" applyFont="1" applyFill="1" applyBorder="1" applyAlignment="1">
      <alignment horizontal="left" vertical="center" wrapText="1"/>
    </xf>
    <xf numFmtId="0" fontId="24" fillId="18" borderId="125" xfId="0" applyFont="1" applyFill="1" applyBorder="1" applyAlignment="1">
      <alignment horizontal="left" vertical="center" wrapText="1"/>
    </xf>
    <xf numFmtId="0" fontId="21" fillId="0" borderId="127" xfId="0" applyFont="1" applyFill="1" applyBorder="1" applyAlignment="1">
      <alignment horizontal="center" vertical="top" wrapText="1"/>
    </xf>
    <xf numFmtId="0" fontId="21" fillId="0" borderId="128" xfId="0" applyFont="1" applyFill="1" applyBorder="1" applyAlignment="1">
      <alignment horizontal="center" vertical="top" wrapText="1"/>
    </xf>
    <xf numFmtId="0" fontId="21" fillId="0" borderId="129" xfId="0" applyFont="1" applyBorder="1" applyAlignment="1">
      <alignment horizontal="left" vertical="top" wrapText="1"/>
    </xf>
    <xf numFmtId="0" fontId="21" fillId="0" borderId="124" xfId="0" applyFont="1" applyFill="1" applyBorder="1" applyAlignment="1">
      <alignment horizontal="center" vertical="top" wrapText="1"/>
    </xf>
    <xf numFmtId="0" fontId="21" fillId="0" borderId="126" xfId="0" applyFont="1" applyFill="1" applyBorder="1" applyAlignment="1">
      <alignment horizontal="center" vertical="top" wrapText="1"/>
    </xf>
    <xf numFmtId="0" fontId="21" fillId="0" borderId="125" xfId="0" applyFont="1" applyBorder="1" applyAlignment="1">
      <alignment horizontal="left" vertical="top" wrapText="1"/>
    </xf>
    <xf numFmtId="0" fontId="21" fillId="0" borderId="25" xfId="0" applyFont="1" applyBorder="1" applyAlignment="1">
      <alignment horizontal="left" vertical="top" wrapText="1"/>
    </xf>
    <xf numFmtId="0" fontId="21" fillId="0" borderId="27" xfId="0" applyFont="1" applyBorder="1" applyAlignment="1">
      <alignment horizontal="left" vertical="top" wrapText="1"/>
    </xf>
    <xf numFmtId="0" fontId="21" fillId="0" borderId="28" xfId="0" applyFont="1" applyBorder="1" applyAlignment="1">
      <alignment horizontal="left" vertical="top" wrapText="1"/>
    </xf>
    <xf numFmtId="0" fontId="21" fillId="0" borderId="30" xfId="0" applyFont="1" applyBorder="1" applyAlignment="1">
      <alignment horizontal="left" vertical="top" wrapText="1"/>
    </xf>
    <xf numFmtId="0" fontId="21" fillId="0" borderId="31" xfId="0" applyFont="1" applyBorder="1" applyAlignment="1">
      <alignment horizontal="left" vertical="top" wrapText="1"/>
    </xf>
    <xf numFmtId="0" fontId="21" fillId="0" borderId="33" xfId="0" applyFont="1" applyBorder="1" applyAlignment="1">
      <alignment horizontal="left" vertical="top" wrapText="1"/>
    </xf>
    <xf numFmtId="0" fontId="21" fillId="0" borderId="130" xfId="0" applyFont="1" applyBorder="1" applyAlignment="1">
      <alignment horizontal="left" vertical="top" wrapText="1"/>
    </xf>
    <xf numFmtId="0" fontId="21" fillId="0" borderId="35" xfId="0" applyFont="1" applyBorder="1" applyAlignment="1">
      <alignment horizontal="left" vertical="top" wrapText="1"/>
    </xf>
    <xf numFmtId="0" fontId="21" fillId="0" borderId="36" xfId="0" applyFont="1" applyBorder="1" applyAlignment="1">
      <alignment horizontal="left" vertical="top" wrapText="1"/>
    </xf>
    <xf numFmtId="0" fontId="21" fillId="0" borderId="22" xfId="0" applyFont="1" applyBorder="1" applyAlignment="1">
      <alignment horizontal="left" vertical="top" wrapText="1"/>
    </xf>
    <xf numFmtId="0" fontId="21" fillId="0" borderId="24" xfId="0" applyFont="1" applyBorder="1" applyAlignment="1">
      <alignment horizontal="left" vertical="top" wrapText="1"/>
    </xf>
    <xf numFmtId="0" fontId="21" fillId="0" borderId="39" xfId="0" applyFont="1" applyBorder="1" applyAlignment="1">
      <alignment horizontal="left" vertical="top" wrapText="1"/>
    </xf>
    <xf numFmtId="0" fontId="21" fillId="0" borderId="41" xfId="0" applyFont="1" applyBorder="1" applyAlignment="1">
      <alignment horizontal="left" vertical="top" wrapText="1"/>
    </xf>
    <xf numFmtId="0" fontId="24" fillId="5" borderId="0" xfId="0" applyFont="1" applyFill="1" applyBorder="1" applyAlignment="1">
      <alignment horizontal="center" vertical="center" wrapText="1"/>
    </xf>
    <xf numFmtId="0" fontId="23" fillId="5" borderId="10" xfId="0" applyFont="1" applyFill="1" applyBorder="1" applyAlignment="1">
      <alignment vertical="top" wrapText="1"/>
    </xf>
    <xf numFmtId="0" fontId="23" fillId="5" borderId="11" xfId="0" applyFont="1" applyFill="1" applyBorder="1" applyAlignment="1">
      <alignment vertical="top" wrapText="1"/>
    </xf>
    <xf numFmtId="0" fontId="24" fillId="5" borderId="13" xfId="0" applyFont="1" applyFill="1" applyBorder="1" applyAlignment="1">
      <alignment vertical="top"/>
    </xf>
    <xf numFmtId="0" fontId="24" fillId="5" borderId="13" xfId="0" applyFont="1" applyFill="1" applyBorder="1" applyAlignment="1">
      <alignment horizontal="right" vertical="top"/>
    </xf>
    <xf numFmtId="0" fontId="23" fillId="5" borderId="0" xfId="0" applyFont="1" applyFill="1" applyBorder="1" applyAlignment="1">
      <alignment horizontal="center" vertical="top" wrapText="1"/>
    </xf>
    <xf numFmtId="0" fontId="24" fillId="18" borderId="22" xfId="0" applyFont="1" applyFill="1" applyBorder="1" applyAlignment="1">
      <alignment horizontal="left" vertical="center" wrapText="1"/>
    </xf>
    <xf numFmtId="0" fontId="24" fillId="18" borderId="24" xfId="0" applyFont="1" applyFill="1" applyBorder="1" applyAlignment="1">
      <alignment horizontal="left" vertical="center" wrapText="1"/>
    </xf>
    <xf numFmtId="0" fontId="24" fillId="18" borderId="22" xfId="0" applyFont="1" applyFill="1" applyBorder="1" applyAlignment="1">
      <alignment horizontal="center" vertical="center" wrapText="1"/>
    </xf>
    <xf numFmtId="0" fontId="24" fillId="18" borderId="23" xfId="0" applyFont="1" applyFill="1" applyBorder="1" applyAlignment="1">
      <alignment horizontal="center" vertical="center" wrapText="1"/>
    </xf>
    <xf numFmtId="0" fontId="24" fillId="18" borderId="24" xfId="0" applyFont="1" applyFill="1" applyBorder="1" applyAlignment="1">
      <alignment horizontal="center" vertical="center" wrapText="1"/>
    </xf>
    <xf numFmtId="0" fontId="21" fillId="0" borderId="0" xfId="0" applyFont="1" applyBorder="1" applyAlignment="1">
      <alignment horizontal="center" vertical="top"/>
    </xf>
    <xf numFmtId="0" fontId="21" fillId="7" borderId="134" xfId="0" applyFont="1" applyFill="1" applyBorder="1" applyAlignment="1">
      <alignment vertical="center" wrapText="1"/>
    </xf>
    <xf numFmtId="0" fontId="21" fillId="7" borderId="135" xfId="0" applyFont="1" applyFill="1" applyBorder="1" applyAlignment="1">
      <alignment vertical="center" wrapText="1"/>
    </xf>
    <xf numFmtId="0" fontId="21" fillId="0" borderId="0" xfId="0" applyFont="1" applyBorder="1" applyAlignment="1">
      <alignment horizontal="left" vertical="top"/>
    </xf>
    <xf numFmtId="9" fontId="2" fillId="14" borderId="79" xfId="1" applyFont="1" applyFill="1" applyBorder="1" applyAlignment="1" applyProtection="1">
      <alignment horizontal="center" vertical="center"/>
    </xf>
    <xf numFmtId="9" fontId="2" fillId="14" borderId="139" xfId="1" applyFont="1" applyFill="1" applyBorder="1" applyAlignment="1" applyProtection="1">
      <alignment horizontal="center" vertical="center"/>
    </xf>
    <xf numFmtId="0" fontId="26" fillId="2" borderId="46" xfId="0" applyFont="1" applyFill="1" applyBorder="1" applyAlignment="1" applyProtection="1">
      <alignment horizontal="right" vertical="center"/>
    </xf>
    <xf numFmtId="0" fontId="2" fillId="10" borderId="81" xfId="0" applyFont="1" applyFill="1" applyBorder="1" applyAlignment="1" applyProtection="1">
      <alignment horizontal="center" vertical="center"/>
    </xf>
    <xf numFmtId="9" fontId="13" fillId="21" borderId="54" xfId="1" applyFont="1" applyFill="1" applyBorder="1" applyAlignment="1" applyProtection="1">
      <alignment horizontal="center" vertical="center"/>
    </xf>
    <xf numFmtId="2" fontId="27" fillId="17" borderId="54" xfId="0" applyNumberFormat="1" applyFont="1" applyFill="1" applyBorder="1" applyAlignment="1" applyProtection="1">
      <alignment horizontal="center" vertical="center"/>
    </xf>
    <xf numFmtId="2" fontId="3" fillId="2" borderId="3" xfId="1" applyNumberFormat="1" applyFont="1" applyFill="1" applyBorder="1" applyAlignment="1" applyProtection="1">
      <alignment horizontal="right" vertical="center" indent="2"/>
    </xf>
    <xf numFmtId="2" fontId="3" fillId="2" borderId="75" xfId="1" applyNumberFormat="1" applyFont="1" applyFill="1" applyBorder="1" applyAlignment="1" applyProtection="1">
      <alignment horizontal="right" vertical="center" indent="2"/>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9" fontId="2" fillId="14" borderId="7" xfId="1" applyFont="1" applyFill="1" applyBorder="1" applyAlignment="1" applyProtection="1">
      <alignment horizontal="center" vertical="center"/>
    </xf>
    <xf numFmtId="9" fontId="2" fillId="14" borderId="0" xfId="1" applyFont="1" applyFill="1" applyBorder="1" applyAlignment="1" applyProtection="1">
      <alignment horizontal="center" vertical="center"/>
    </xf>
    <xf numFmtId="0" fontId="3" fillId="3" borderId="0" xfId="0" applyFont="1" applyFill="1" applyBorder="1" applyAlignment="1" applyProtection="1">
      <alignment horizontal="left"/>
      <protection locked="0"/>
    </xf>
    <xf numFmtId="0" fontId="13" fillId="14" borderId="4" xfId="0" applyFont="1" applyFill="1" applyBorder="1" applyAlignment="1" applyProtection="1">
      <alignment horizontal="center" vertical="center"/>
    </xf>
    <xf numFmtId="0" fontId="13" fillId="14" borderId="0" xfId="0" applyFont="1" applyFill="1" applyBorder="1" applyAlignment="1" applyProtection="1">
      <alignment horizontal="center" vertical="center"/>
    </xf>
    <xf numFmtId="0" fontId="13" fillId="14" borderId="76" xfId="0" applyFont="1" applyFill="1" applyBorder="1" applyAlignment="1" applyProtection="1">
      <alignment horizontal="center" vertical="center"/>
    </xf>
    <xf numFmtId="0" fontId="13" fillId="13" borderId="4" xfId="0" applyFont="1" applyFill="1" applyBorder="1" applyAlignment="1" applyProtection="1">
      <alignment horizontal="center" vertical="center"/>
    </xf>
    <xf numFmtId="0" fontId="13" fillId="13" borderId="0" xfId="0" applyFont="1" applyFill="1" applyBorder="1" applyAlignment="1" applyProtection="1">
      <alignment horizontal="center" vertical="center"/>
    </xf>
    <xf numFmtId="0" fontId="13" fillId="13" borderId="76" xfId="0" applyFont="1" applyFill="1" applyBorder="1" applyAlignment="1" applyProtection="1">
      <alignment horizontal="center" vertical="center"/>
    </xf>
    <xf numFmtId="0" fontId="13" fillId="2" borderId="4"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13" fillId="2" borderId="16" xfId="0" applyFont="1" applyFill="1" applyBorder="1" applyAlignment="1" applyProtection="1">
      <alignment horizontal="center" vertical="center"/>
    </xf>
    <xf numFmtId="9" fontId="2" fillId="14" borderId="96" xfId="1" applyFont="1" applyFill="1" applyBorder="1" applyAlignment="1" applyProtection="1">
      <alignment horizontal="center" vertical="center"/>
    </xf>
    <xf numFmtId="9" fontId="2" fillId="14" borderId="97" xfId="1" applyFont="1" applyFill="1" applyBorder="1" applyAlignment="1" applyProtection="1">
      <alignment horizontal="center" vertical="center"/>
    </xf>
    <xf numFmtId="9" fontId="3" fillId="14" borderId="77" xfId="1" applyFont="1" applyFill="1" applyBorder="1" applyAlignment="1" applyProtection="1">
      <alignment horizontal="center" vertical="center"/>
    </xf>
    <xf numFmtId="9" fontId="3" fillId="14" borderId="98" xfId="1" applyFont="1" applyFill="1" applyBorder="1" applyAlignment="1" applyProtection="1">
      <alignment horizontal="center" vertical="center"/>
    </xf>
    <xf numFmtId="9" fontId="3" fillId="14" borderId="99" xfId="1" applyFont="1" applyFill="1" applyBorder="1" applyAlignment="1" applyProtection="1">
      <alignment horizontal="center" vertical="center"/>
    </xf>
    <xf numFmtId="9" fontId="3" fillId="14" borderId="100" xfId="1" applyFont="1" applyFill="1" applyBorder="1" applyAlignment="1" applyProtection="1">
      <alignment horizontal="center" vertical="center"/>
    </xf>
    <xf numFmtId="0" fontId="3" fillId="3" borderId="0" xfId="0" applyFont="1" applyFill="1" applyBorder="1" applyAlignment="1" applyProtection="1">
      <alignment horizontal="left"/>
    </xf>
    <xf numFmtId="9" fontId="2" fillId="14" borderId="1" xfId="1" applyFont="1" applyFill="1" applyBorder="1" applyAlignment="1" applyProtection="1">
      <alignment horizontal="center" vertical="center"/>
    </xf>
    <xf numFmtId="0" fontId="23" fillId="5" borderId="131" xfId="0" applyFont="1" applyFill="1" applyBorder="1" applyAlignment="1">
      <alignment horizontal="center" vertical="center" wrapText="1"/>
    </xf>
    <xf numFmtId="0" fontId="23" fillId="5" borderId="120" xfId="0" applyFont="1" applyFill="1" applyBorder="1" applyAlignment="1">
      <alignment horizontal="center" vertical="center" wrapText="1"/>
    </xf>
    <xf numFmtId="0" fontId="23" fillId="5" borderId="137" xfId="0" applyFont="1" applyFill="1" applyBorder="1" applyAlignment="1">
      <alignment horizontal="center" vertical="center" wrapText="1"/>
    </xf>
    <xf numFmtId="0" fontId="23" fillId="5" borderId="138" xfId="0" applyFont="1" applyFill="1" applyBorder="1" applyAlignment="1">
      <alignment horizontal="center" vertical="center" wrapText="1"/>
    </xf>
    <xf numFmtId="0" fontId="25" fillId="5" borderId="9" xfId="0" applyFont="1" applyFill="1" applyBorder="1" applyAlignment="1">
      <alignment horizontal="right" vertical="center" wrapText="1"/>
    </xf>
    <xf numFmtId="0" fontId="25" fillId="5" borderId="10" xfId="0" applyFont="1" applyFill="1" applyBorder="1" applyAlignment="1">
      <alignment horizontal="right" vertical="center" wrapText="1"/>
    </xf>
    <xf numFmtId="0" fontId="25" fillId="5" borderId="12" xfId="0" applyFont="1" applyFill="1" applyBorder="1" applyAlignment="1">
      <alignment horizontal="right" vertical="center" wrapText="1"/>
    </xf>
    <xf numFmtId="0" fontId="25" fillId="5" borderId="13" xfId="0" applyFont="1" applyFill="1" applyBorder="1" applyAlignment="1">
      <alignment horizontal="right" vertical="center" wrapText="1"/>
    </xf>
    <xf numFmtId="0" fontId="23" fillId="5" borderId="9" xfId="0" applyFont="1" applyFill="1" applyBorder="1" applyAlignment="1">
      <alignment horizontal="center" vertical="top" wrapText="1"/>
    </xf>
    <xf numFmtId="0" fontId="23" fillId="5" borderId="10" xfId="0" applyFont="1" applyFill="1" applyBorder="1" applyAlignment="1">
      <alignment horizontal="center" vertical="top" wrapText="1"/>
    </xf>
    <xf numFmtId="0" fontId="23" fillId="5" borderId="11" xfId="0" applyFont="1" applyFill="1" applyBorder="1" applyAlignment="1">
      <alignment horizontal="center" vertical="top" wrapText="1"/>
    </xf>
    <xf numFmtId="0" fontId="23" fillId="5" borderId="12" xfId="0" applyFont="1" applyFill="1" applyBorder="1" applyAlignment="1">
      <alignment horizontal="center" vertical="top" wrapText="1"/>
    </xf>
    <xf numFmtId="0" fontId="23" fillId="5" borderId="13" xfId="0" applyFont="1" applyFill="1" applyBorder="1" applyAlignment="1">
      <alignment horizontal="center" vertical="top" wrapText="1"/>
    </xf>
    <xf numFmtId="0" fontId="23" fillId="5" borderId="14" xfId="0" applyFont="1" applyFill="1" applyBorder="1" applyAlignment="1">
      <alignment horizontal="center" vertical="top" wrapText="1"/>
    </xf>
    <xf numFmtId="0" fontId="23" fillId="5" borderId="121" xfId="0" applyFont="1" applyFill="1" applyBorder="1" applyAlignment="1">
      <alignment horizontal="center" vertical="center" wrapText="1"/>
    </xf>
    <xf numFmtId="0" fontId="23" fillId="5" borderId="134" xfId="0" applyFont="1" applyFill="1" applyBorder="1" applyAlignment="1">
      <alignment horizontal="center" vertical="center" wrapText="1"/>
    </xf>
    <xf numFmtId="0" fontId="23" fillId="5" borderId="136" xfId="0" applyFont="1" applyFill="1" applyBorder="1" applyAlignment="1">
      <alignment horizontal="center" vertical="center" wrapText="1"/>
    </xf>
    <xf numFmtId="0" fontId="23" fillId="5" borderId="135" xfId="0" applyFont="1" applyFill="1" applyBorder="1" applyAlignment="1">
      <alignment horizontal="center" vertical="center" wrapText="1"/>
    </xf>
    <xf numFmtId="0" fontId="23" fillId="5" borderId="131" xfId="0" applyFont="1" applyFill="1" applyBorder="1" applyAlignment="1">
      <alignment horizontal="center" vertical="center"/>
    </xf>
    <xf numFmtId="0" fontId="23" fillId="5" borderId="120" xfId="0" applyFont="1" applyFill="1" applyBorder="1" applyAlignment="1">
      <alignment horizontal="center" vertical="center"/>
    </xf>
    <xf numFmtId="0" fontId="23" fillId="5" borderId="134" xfId="0" applyFont="1" applyFill="1" applyBorder="1" applyAlignment="1">
      <alignment horizontal="center" vertical="center"/>
    </xf>
    <xf numFmtId="0" fontId="23" fillId="5" borderId="135" xfId="0" applyFont="1" applyFill="1" applyBorder="1" applyAlignment="1">
      <alignment horizontal="center" vertical="center"/>
    </xf>
    <xf numFmtId="0" fontId="23" fillId="5" borderId="123" xfId="0" applyFont="1" applyFill="1" applyBorder="1" applyAlignment="1">
      <alignment horizontal="center" vertical="top" wrapText="1"/>
    </xf>
    <xf numFmtId="0" fontId="23" fillId="5" borderId="122" xfId="0" applyFont="1" applyFill="1" applyBorder="1" applyAlignment="1">
      <alignment horizontal="center" vertical="top" wrapText="1"/>
    </xf>
    <xf numFmtId="0" fontId="23" fillId="5" borderId="137" xfId="0" applyFont="1" applyFill="1" applyBorder="1" applyAlignment="1">
      <alignment horizontal="center" vertical="top" wrapText="1"/>
    </xf>
    <xf numFmtId="0" fontId="23" fillId="5" borderId="132" xfId="0" applyFont="1" applyFill="1" applyBorder="1" applyAlignment="1">
      <alignment horizontal="center" vertical="center" wrapText="1"/>
    </xf>
    <xf numFmtId="0" fontId="23" fillId="5" borderId="13" xfId="0" applyFont="1" applyFill="1" applyBorder="1" applyAlignment="1">
      <alignment horizontal="center" vertical="center" wrapText="1"/>
    </xf>
    <xf numFmtId="0" fontId="23" fillId="5" borderId="133" xfId="0" applyFont="1" applyFill="1" applyBorder="1" applyAlignment="1">
      <alignment horizontal="center" vertical="center" wrapText="1"/>
    </xf>
  </cellXfs>
  <cellStyles count="2">
    <cellStyle name="Procent" xfId="1" builtinId="5"/>
    <cellStyle name="Standaard" xfId="0" builtinId="0"/>
  </cellStyles>
  <dxfs count="9">
    <dxf>
      <fill>
        <patternFill>
          <bgColor theme="9" tint="0.79998168889431442"/>
        </patternFill>
      </fill>
    </dxf>
    <dxf>
      <font>
        <color theme="7" tint="0.79998168889431442"/>
      </font>
      <fill>
        <patternFill>
          <bgColor theme="7" tint="0.79998168889431442"/>
        </patternFill>
      </fill>
    </dxf>
    <dxf>
      <font>
        <color theme="0"/>
      </font>
      <fill>
        <patternFill>
          <bgColor rgb="FFFF0000"/>
        </patternFill>
      </fill>
    </dxf>
    <dxf>
      <font>
        <color theme="0"/>
      </font>
      <fill>
        <patternFill>
          <bgColor rgb="FFFF0000"/>
        </patternFill>
      </fill>
    </dxf>
    <dxf>
      <font>
        <color theme="0" tint="-0.499984740745262"/>
      </font>
    </dxf>
    <dxf>
      <font>
        <color theme="0" tint="-0.499984740745262"/>
      </font>
    </dxf>
    <dxf>
      <font>
        <b/>
        <i val="0"/>
        <color theme="0"/>
      </font>
      <fill>
        <patternFill>
          <bgColor rgb="FFFF0000"/>
        </patternFill>
      </fill>
    </dxf>
    <dxf>
      <font>
        <b/>
        <i val="0"/>
        <color theme="0"/>
      </font>
      <fill>
        <patternFill>
          <bgColor rgb="FFFF0000"/>
        </patternFill>
      </fill>
    </dxf>
    <dxf>
      <font>
        <color theme="7" tint="0.79998168889431442"/>
      </font>
      <fill>
        <patternFill patternType="solid">
          <bgColor theme="7" tint="0.79998168889431442"/>
        </patternFill>
      </fill>
    </dxf>
  </dxfs>
  <tableStyles count="0" defaultTableStyle="TableStyleMedium2" defaultPivotStyle="PivotStyleLight16"/>
  <colors>
    <mruColors>
      <color rgb="FF800000"/>
      <color rgb="FF990000"/>
      <color rgb="FFD20000"/>
      <color rgb="FFFFD44B"/>
      <color rgb="FFFFFFFF"/>
      <color rgb="FFF9FBFD"/>
      <color rgb="FF684D00"/>
      <color rgb="FFF9FBF7"/>
      <color rgb="FFF1F7ED"/>
      <color rgb="FFEFF6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19</xdr:col>
      <xdr:colOff>2162175</xdr:colOff>
      <xdr:row>7</xdr:row>
      <xdr:rowOff>304076</xdr:rowOff>
    </xdr:from>
    <xdr:ext cx="1076325" cy="1066496"/>
    <xdr:pic>
      <xdr:nvPicPr>
        <xdr:cNvPr id="3" name="Afbeelding 2">
          <a:extLst>
            <a:ext uri="{FF2B5EF4-FFF2-40B4-BE49-F238E27FC236}">
              <a16:creationId xmlns:a16="http://schemas.microsoft.com/office/drawing/2014/main" id="{42DF8D2A-665A-4771-886A-8593C736ADFF}"/>
            </a:ext>
          </a:extLst>
        </xdr:cNvPr>
        <xdr:cNvPicPr>
          <a:picLocks noChangeAspect="1"/>
        </xdr:cNvPicPr>
      </xdr:nvPicPr>
      <xdr:blipFill>
        <a:blip xmlns:r="http://schemas.openxmlformats.org/officeDocument/2006/relationships" r:embed="rId1"/>
        <a:stretch>
          <a:fillRect/>
        </a:stretch>
      </xdr:blipFill>
      <xdr:spPr>
        <a:xfrm>
          <a:off x="17173575" y="7333526"/>
          <a:ext cx="1076325" cy="1066496"/>
        </a:xfrm>
        <a:prstGeom prst="rect">
          <a:avLst/>
        </a:prstGeom>
      </xdr:spPr>
    </xdr:pic>
    <xdr:clientData/>
  </xdr:oneCellAnchor>
  <xdr:twoCellAnchor editAs="oneCell">
    <xdr:from>
      <xdr:col>15</xdr:col>
      <xdr:colOff>152400</xdr:colOff>
      <xdr:row>15</xdr:row>
      <xdr:rowOff>1657350</xdr:rowOff>
    </xdr:from>
    <xdr:to>
      <xdr:col>15</xdr:col>
      <xdr:colOff>914466</xdr:colOff>
      <xdr:row>15</xdr:row>
      <xdr:rowOff>2004852</xdr:rowOff>
    </xdr:to>
    <xdr:pic>
      <xdr:nvPicPr>
        <xdr:cNvPr id="5" name="Afbeelding 4">
          <a:extLst>
            <a:ext uri="{FF2B5EF4-FFF2-40B4-BE49-F238E27FC236}">
              <a16:creationId xmlns:a16="http://schemas.microsoft.com/office/drawing/2014/main" id="{DBC3D2BA-0FFB-4652-A6DB-85AC1F14A015}"/>
            </a:ext>
          </a:extLst>
        </xdr:cNvPr>
        <xdr:cNvPicPr>
          <a:picLocks noChangeAspect="1"/>
        </xdr:cNvPicPr>
      </xdr:nvPicPr>
      <xdr:blipFill>
        <a:blip xmlns:r="http://schemas.openxmlformats.org/officeDocument/2006/relationships" r:embed="rId2"/>
        <a:stretch>
          <a:fillRect/>
        </a:stretch>
      </xdr:blipFill>
      <xdr:spPr>
        <a:xfrm>
          <a:off x="11087100" y="18830925"/>
          <a:ext cx="762066" cy="347502"/>
        </a:xfrm>
        <a:prstGeom prst="rect">
          <a:avLst/>
        </a:prstGeom>
      </xdr:spPr>
    </xdr:pic>
    <xdr:clientData/>
  </xdr:twoCellAnchor>
  <xdr:twoCellAnchor editAs="oneCell">
    <xdr:from>
      <xdr:col>16</xdr:col>
      <xdr:colOff>209550</xdr:colOff>
      <xdr:row>15</xdr:row>
      <xdr:rowOff>1295400</xdr:rowOff>
    </xdr:from>
    <xdr:to>
      <xdr:col>16</xdr:col>
      <xdr:colOff>977713</xdr:colOff>
      <xdr:row>15</xdr:row>
      <xdr:rowOff>2075756</xdr:rowOff>
    </xdr:to>
    <xdr:pic>
      <xdr:nvPicPr>
        <xdr:cNvPr id="6" name="Afbeelding 5">
          <a:extLst>
            <a:ext uri="{FF2B5EF4-FFF2-40B4-BE49-F238E27FC236}">
              <a16:creationId xmlns:a16="http://schemas.microsoft.com/office/drawing/2014/main" id="{228B2F04-0BF8-4364-B4D5-8DDD7062D437}"/>
            </a:ext>
          </a:extLst>
        </xdr:cNvPr>
        <xdr:cNvPicPr>
          <a:picLocks noChangeAspect="1"/>
        </xdr:cNvPicPr>
      </xdr:nvPicPr>
      <xdr:blipFill>
        <a:blip xmlns:r="http://schemas.openxmlformats.org/officeDocument/2006/relationships" r:embed="rId3"/>
        <a:stretch>
          <a:fillRect/>
        </a:stretch>
      </xdr:blipFill>
      <xdr:spPr>
        <a:xfrm>
          <a:off x="12201525" y="18468975"/>
          <a:ext cx="768163" cy="780356"/>
        </a:xfrm>
        <a:prstGeom prst="rect">
          <a:avLst/>
        </a:prstGeom>
      </xdr:spPr>
    </xdr:pic>
    <xdr:clientData/>
  </xdr:twoCellAnchor>
  <xdr:twoCellAnchor editAs="oneCell">
    <xdr:from>
      <xdr:col>17</xdr:col>
      <xdr:colOff>228600</xdr:colOff>
      <xdr:row>15</xdr:row>
      <xdr:rowOff>1171575</xdr:rowOff>
    </xdr:from>
    <xdr:to>
      <xdr:col>18</xdr:col>
      <xdr:colOff>61418</xdr:colOff>
      <xdr:row>15</xdr:row>
      <xdr:rowOff>2079958</xdr:rowOff>
    </xdr:to>
    <xdr:pic>
      <xdr:nvPicPr>
        <xdr:cNvPr id="7" name="Afbeelding 6">
          <a:extLst>
            <a:ext uri="{FF2B5EF4-FFF2-40B4-BE49-F238E27FC236}">
              <a16:creationId xmlns:a16="http://schemas.microsoft.com/office/drawing/2014/main" id="{C619E66F-4EF3-420A-933F-5C52B46BD970}"/>
            </a:ext>
          </a:extLst>
        </xdr:cNvPr>
        <xdr:cNvPicPr>
          <a:picLocks noChangeAspect="1"/>
        </xdr:cNvPicPr>
      </xdr:nvPicPr>
      <xdr:blipFill>
        <a:blip xmlns:r="http://schemas.openxmlformats.org/officeDocument/2006/relationships" r:embed="rId4"/>
        <a:stretch>
          <a:fillRect/>
        </a:stretch>
      </xdr:blipFill>
      <xdr:spPr>
        <a:xfrm>
          <a:off x="13277850" y="18345150"/>
          <a:ext cx="890093" cy="908383"/>
        </a:xfrm>
        <a:prstGeom prst="rect">
          <a:avLst/>
        </a:prstGeom>
      </xdr:spPr>
    </xdr:pic>
    <xdr:clientData/>
  </xdr:twoCellAnchor>
  <xdr:twoCellAnchor editAs="oneCell">
    <xdr:from>
      <xdr:col>18</xdr:col>
      <xdr:colOff>228600</xdr:colOff>
      <xdr:row>15</xdr:row>
      <xdr:rowOff>1285875</xdr:rowOff>
    </xdr:from>
    <xdr:to>
      <xdr:col>18</xdr:col>
      <xdr:colOff>996763</xdr:colOff>
      <xdr:row>15</xdr:row>
      <xdr:rowOff>2066231</xdr:rowOff>
    </xdr:to>
    <xdr:pic>
      <xdr:nvPicPr>
        <xdr:cNvPr id="8" name="Afbeelding 7">
          <a:extLst>
            <a:ext uri="{FF2B5EF4-FFF2-40B4-BE49-F238E27FC236}">
              <a16:creationId xmlns:a16="http://schemas.microsoft.com/office/drawing/2014/main" id="{EFD2B192-7C6F-4A41-AE65-47A75709E26F}"/>
            </a:ext>
          </a:extLst>
        </xdr:cNvPr>
        <xdr:cNvPicPr>
          <a:picLocks noChangeAspect="1"/>
        </xdr:cNvPicPr>
      </xdr:nvPicPr>
      <xdr:blipFill>
        <a:blip xmlns:r="http://schemas.openxmlformats.org/officeDocument/2006/relationships" r:embed="rId5"/>
        <a:stretch>
          <a:fillRect/>
        </a:stretch>
      </xdr:blipFill>
      <xdr:spPr>
        <a:xfrm>
          <a:off x="14335125" y="18459450"/>
          <a:ext cx="768163" cy="780356"/>
        </a:xfrm>
        <a:prstGeom prst="rect">
          <a:avLst/>
        </a:prstGeom>
      </xdr:spPr>
    </xdr:pic>
    <xdr:clientData/>
  </xdr:twoCellAnchor>
  <xdr:twoCellAnchor editAs="oneCell">
    <xdr:from>
      <xdr:col>15</xdr:col>
      <xdr:colOff>590551</xdr:colOff>
      <xdr:row>20</xdr:row>
      <xdr:rowOff>342900</xdr:rowOff>
    </xdr:from>
    <xdr:to>
      <xdr:col>16</xdr:col>
      <xdr:colOff>448620</xdr:colOff>
      <xdr:row>20</xdr:row>
      <xdr:rowOff>1108034</xdr:rowOff>
    </xdr:to>
    <xdr:pic>
      <xdr:nvPicPr>
        <xdr:cNvPr id="9" name="Afbeelding 8">
          <a:extLst>
            <a:ext uri="{FF2B5EF4-FFF2-40B4-BE49-F238E27FC236}">
              <a16:creationId xmlns:a16="http://schemas.microsoft.com/office/drawing/2014/main" id="{3732C4B8-5697-4A2E-98F8-9D54001C2C31}"/>
            </a:ext>
          </a:extLst>
        </xdr:cNvPr>
        <xdr:cNvPicPr>
          <a:picLocks noChangeAspect="1"/>
        </xdr:cNvPicPr>
      </xdr:nvPicPr>
      <xdr:blipFill>
        <a:blip xmlns:r="http://schemas.openxmlformats.org/officeDocument/2006/relationships" r:embed="rId6"/>
        <a:stretch>
          <a:fillRect/>
        </a:stretch>
      </xdr:blipFill>
      <xdr:spPr>
        <a:xfrm>
          <a:off x="11525251" y="24479250"/>
          <a:ext cx="915344" cy="765134"/>
        </a:xfrm>
        <a:prstGeom prst="rect">
          <a:avLst/>
        </a:prstGeom>
      </xdr:spPr>
    </xdr:pic>
    <xdr:clientData/>
  </xdr:twoCellAnchor>
  <xdr:twoCellAnchor editAs="oneCell">
    <xdr:from>
      <xdr:col>17</xdr:col>
      <xdr:colOff>666750</xdr:colOff>
      <xdr:row>20</xdr:row>
      <xdr:rowOff>363537</xdr:rowOff>
    </xdr:from>
    <xdr:to>
      <xdr:col>18</xdr:col>
      <xdr:colOff>447675</xdr:colOff>
      <xdr:row>20</xdr:row>
      <xdr:rowOff>746418</xdr:rowOff>
    </xdr:to>
    <xdr:pic>
      <xdr:nvPicPr>
        <xdr:cNvPr id="10" name="Afbeelding 9">
          <a:extLst>
            <a:ext uri="{FF2B5EF4-FFF2-40B4-BE49-F238E27FC236}">
              <a16:creationId xmlns:a16="http://schemas.microsoft.com/office/drawing/2014/main" id="{93BA87AD-05BB-4DD8-BFC7-640E4652B21D}"/>
            </a:ext>
          </a:extLst>
        </xdr:cNvPr>
        <xdr:cNvPicPr>
          <a:picLocks noChangeAspect="1"/>
        </xdr:cNvPicPr>
      </xdr:nvPicPr>
      <xdr:blipFill>
        <a:blip xmlns:r="http://schemas.openxmlformats.org/officeDocument/2006/relationships" r:embed="rId7"/>
        <a:stretch>
          <a:fillRect/>
        </a:stretch>
      </xdr:blipFill>
      <xdr:spPr>
        <a:xfrm>
          <a:off x="13716000" y="24499887"/>
          <a:ext cx="838200" cy="382881"/>
        </a:xfrm>
        <a:prstGeom prst="rect">
          <a:avLst/>
        </a:prstGeom>
      </xdr:spPr>
    </xdr:pic>
    <xdr:clientData/>
  </xdr:twoCellAnchor>
  <xdr:twoCellAnchor editAs="oneCell">
    <xdr:from>
      <xdr:col>16</xdr:col>
      <xdr:colOff>466725</xdr:colOff>
      <xdr:row>21</xdr:row>
      <xdr:rowOff>498138</xdr:rowOff>
    </xdr:from>
    <xdr:to>
      <xdr:col>18</xdr:col>
      <xdr:colOff>133350</xdr:colOff>
      <xdr:row>21</xdr:row>
      <xdr:rowOff>1208607</xdr:rowOff>
    </xdr:to>
    <xdr:pic>
      <xdr:nvPicPr>
        <xdr:cNvPr id="11" name="Afbeelding 10">
          <a:extLst>
            <a:ext uri="{FF2B5EF4-FFF2-40B4-BE49-F238E27FC236}">
              <a16:creationId xmlns:a16="http://schemas.microsoft.com/office/drawing/2014/main" id="{6DE61F14-146D-4982-A3BF-6901C1047FBD}"/>
            </a:ext>
          </a:extLst>
        </xdr:cNvPr>
        <xdr:cNvPicPr>
          <a:picLocks noChangeAspect="1"/>
        </xdr:cNvPicPr>
      </xdr:nvPicPr>
      <xdr:blipFill>
        <a:blip xmlns:r="http://schemas.openxmlformats.org/officeDocument/2006/relationships" r:embed="rId8"/>
        <a:stretch>
          <a:fillRect/>
        </a:stretch>
      </xdr:blipFill>
      <xdr:spPr>
        <a:xfrm>
          <a:off x="12458700" y="25787013"/>
          <a:ext cx="1781175" cy="71046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7E0A1-1E22-41DF-B6BF-29FA7E007D55}">
  <dimension ref="A1:W189"/>
  <sheetViews>
    <sheetView showGridLines="0" showRowColHeaders="0" tabSelected="1" zoomScale="80" zoomScaleNormal="80" workbookViewId="0">
      <selection activeCell="G11" sqref="G11:G25"/>
    </sheetView>
  </sheetViews>
  <sheetFormatPr defaultColWidth="9.09765625" defaultRowHeight="15.75" customHeight="1" x14ac:dyDescent="0.3"/>
  <cols>
    <col min="1" max="1" width="2.296875" style="7" customWidth="1"/>
    <col min="2" max="2" width="7.09765625" style="211" customWidth="1"/>
    <col min="3" max="3" width="21.69921875" style="5" customWidth="1"/>
    <col min="4" max="4" width="40.3984375" style="5" customWidth="1"/>
    <col min="5" max="5" width="21.296875" style="148" customWidth="1"/>
    <col min="6" max="9" width="10.8984375" style="149" customWidth="1"/>
    <col min="10" max="10" width="10.8984375" style="150" customWidth="1"/>
    <col min="11" max="11" width="9.09765625" style="213"/>
    <col min="12" max="12" width="9.09765625" style="156"/>
    <col min="13" max="13" width="9.09765625" style="152"/>
    <col min="14" max="15" width="9.09765625" style="212"/>
    <col min="16" max="17" width="9.09765625" style="213"/>
    <col min="18" max="19" width="9.09765625" style="180"/>
    <col min="20" max="23" width="9.09765625" style="224"/>
    <col min="24" max="16384" width="9.09765625" style="3"/>
  </cols>
  <sheetData>
    <row r="1" spans="1:23" ht="9.75" customHeight="1" x14ac:dyDescent="0.3"/>
    <row r="2" spans="1:23" s="52" customFormat="1" ht="24.9" customHeight="1" x14ac:dyDescent="0.35">
      <c r="A2" s="154"/>
      <c r="B2" s="327" t="s">
        <v>0</v>
      </c>
      <c r="C2" s="328"/>
      <c r="D2" s="328"/>
      <c r="E2" s="328"/>
      <c r="F2" s="328"/>
      <c r="G2" s="328"/>
      <c r="H2" s="325" t="s">
        <v>361</v>
      </c>
      <c r="I2" s="325"/>
      <c r="J2" s="326"/>
      <c r="K2" s="216"/>
      <c r="L2" s="219"/>
      <c r="M2" s="214"/>
      <c r="N2" s="215"/>
      <c r="O2" s="216"/>
      <c r="P2" s="216"/>
      <c r="Q2" s="216"/>
      <c r="R2" s="179"/>
      <c r="S2" s="179"/>
      <c r="T2" s="225"/>
      <c r="U2" s="225"/>
      <c r="V2" s="225"/>
      <c r="W2" s="225"/>
    </row>
    <row r="3" spans="1:23" ht="24.9" customHeight="1" x14ac:dyDescent="0.3">
      <c r="B3" s="332" t="s">
        <v>2</v>
      </c>
      <c r="C3" s="333"/>
      <c r="D3" s="333"/>
      <c r="E3" s="333"/>
      <c r="F3" s="333"/>
      <c r="G3" s="333"/>
      <c r="H3" s="333"/>
      <c r="I3" s="333"/>
      <c r="J3" s="334"/>
      <c r="O3" s="213"/>
    </row>
    <row r="4" spans="1:23" ht="15.75" customHeight="1" x14ac:dyDescent="0.3">
      <c r="B4" s="190"/>
      <c r="C4" s="53" t="s">
        <v>3</v>
      </c>
      <c r="D4" s="1" t="s">
        <v>20</v>
      </c>
      <c r="E4" s="54"/>
      <c r="F4" s="54"/>
      <c r="G4" s="54"/>
      <c r="H4" s="54"/>
      <c r="I4" s="54"/>
      <c r="J4" s="55"/>
      <c r="O4" s="213"/>
    </row>
    <row r="5" spans="1:23" ht="15.75" customHeight="1" x14ac:dyDescent="0.3">
      <c r="B5" s="190"/>
      <c r="C5" s="53" t="s">
        <v>5</v>
      </c>
      <c r="D5" s="1" t="s">
        <v>6</v>
      </c>
      <c r="E5" s="54"/>
      <c r="F5" s="54"/>
      <c r="G5" s="54"/>
      <c r="H5" s="54"/>
      <c r="I5" s="54"/>
      <c r="J5" s="55"/>
      <c r="O5" s="213"/>
    </row>
    <row r="6" spans="1:23" ht="15.75" customHeight="1" x14ac:dyDescent="0.3">
      <c r="B6" s="190"/>
      <c r="C6" s="53" t="s">
        <v>7</v>
      </c>
      <c r="D6" s="56" t="str">
        <f>IF(O11=1,P11,IF(O12=1,P12,IF(O13=1,P13,IF(O14=1,P14,IF(O15=1,P15,IF(O16=1,P16,IF(O17=1,P17,IF(O18=1,P18))))))))</f>
        <v>2.WO-NB</v>
      </c>
      <c r="E6" s="57"/>
      <c r="F6" s="57"/>
      <c r="G6" s="57"/>
      <c r="H6" s="57"/>
      <c r="I6" s="54"/>
      <c r="J6" s="55"/>
      <c r="O6" s="213"/>
    </row>
    <row r="7" spans="1:23" ht="15.75" customHeight="1" x14ac:dyDescent="0.3">
      <c r="B7" s="190"/>
      <c r="C7" s="58"/>
      <c r="D7" s="58"/>
      <c r="E7" s="59"/>
      <c r="F7" s="60"/>
      <c r="G7" s="60"/>
      <c r="H7" s="60"/>
      <c r="I7" s="60"/>
      <c r="J7" s="61"/>
      <c r="O7" s="213"/>
    </row>
    <row r="8" spans="1:23" s="52" customFormat="1" ht="24.9" customHeight="1" x14ac:dyDescent="0.35">
      <c r="A8" s="154"/>
      <c r="B8" s="335" t="s">
        <v>8</v>
      </c>
      <c r="C8" s="336"/>
      <c r="D8" s="336"/>
      <c r="E8" s="336"/>
      <c r="F8" s="336"/>
      <c r="G8" s="336"/>
      <c r="H8" s="336"/>
      <c r="I8" s="336"/>
      <c r="J8" s="337"/>
      <c r="K8" s="216"/>
      <c r="L8" s="219"/>
      <c r="M8" s="214"/>
      <c r="N8" s="215"/>
      <c r="O8" s="216"/>
      <c r="P8" s="216"/>
      <c r="Q8" s="216"/>
      <c r="R8" s="179"/>
      <c r="S8" s="179"/>
      <c r="T8" s="225"/>
      <c r="U8" s="225"/>
      <c r="V8" s="225"/>
      <c r="W8" s="225"/>
    </row>
    <row r="9" spans="1:23" ht="15.75" customHeight="1" x14ac:dyDescent="0.3">
      <c r="B9" s="191"/>
      <c r="C9" s="62" t="s">
        <v>9</v>
      </c>
      <c r="D9" s="151" t="s">
        <v>36</v>
      </c>
      <c r="E9" s="63" t="s">
        <v>11</v>
      </c>
      <c r="F9" s="64" t="s">
        <v>12</v>
      </c>
      <c r="G9" s="65" t="s">
        <v>13</v>
      </c>
      <c r="H9" s="66" t="s">
        <v>14</v>
      </c>
      <c r="I9" s="67" t="s">
        <v>15</v>
      </c>
      <c r="J9" s="68" t="s">
        <v>16</v>
      </c>
      <c r="L9" s="156" t="s">
        <v>17</v>
      </c>
      <c r="O9" s="213"/>
    </row>
    <row r="10" spans="1:23" ht="15.75" customHeight="1" x14ac:dyDescent="0.35">
      <c r="B10" s="191"/>
      <c r="C10" s="69"/>
      <c r="D10" s="69"/>
      <c r="E10" s="70" t="s">
        <v>18</v>
      </c>
      <c r="F10" s="71">
        <f>COUNTA(F11:F26)+IF($L$22=1,0,COUNTA(F29:F36))</f>
        <v>0</v>
      </c>
      <c r="G10" s="71">
        <f>COUNTA(G11:G26)+IF($L$22=1,SUM(J29:J36),COUNTA(G29:G36))</f>
        <v>19</v>
      </c>
      <c r="H10" s="71">
        <f t="shared" ref="H10:I10" si="0">COUNTA(H11:H26)+IF($L$22=1,0,COUNTA(H29:H36))</f>
        <v>0</v>
      </c>
      <c r="I10" s="72">
        <f t="shared" si="0"/>
        <v>0</v>
      </c>
      <c r="J10" s="73" t="s">
        <v>19</v>
      </c>
      <c r="L10" s="156" t="s">
        <v>20</v>
      </c>
      <c r="O10" s="155" t="s">
        <v>7</v>
      </c>
      <c r="P10" s="155" t="s">
        <v>21</v>
      </c>
    </row>
    <row r="11" spans="1:23" ht="15.75" customHeight="1" x14ac:dyDescent="0.3">
      <c r="B11" s="192" t="str">
        <f>'Indicatoren,16-12-21'!B4</f>
        <v>D01a</v>
      </c>
      <c r="C11" s="81" t="str">
        <f>'Indicatoren,16-12-21'!C4</f>
        <v>Onderscheid draagconstructie en installaties (gebruiksdynamiek)</v>
      </c>
      <c r="D11" s="81"/>
      <c r="E11" s="82"/>
      <c r="F11" s="168"/>
      <c r="G11" s="168" t="s">
        <v>22</v>
      </c>
      <c r="H11" s="168"/>
      <c r="I11" s="168"/>
      <c r="J11" s="169">
        <f t="shared" ref="J11:J26" si="1">IF($F11="x",0,IF($G11="x",1,IF($H11="x",2,IF($I11="x",4))))</f>
        <v>1</v>
      </c>
      <c r="L11" s="156" t="s">
        <v>23</v>
      </c>
      <c r="O11" s="152">
        <f>IF(AND($D$4="Woon",$D$5="binnenstedelijk"),1,0)</f>
        <v>0</v>
      </c>
      <c r="P11" s="152" t="s">
        <v>24</v>
      </c>
    </row>
    <row r="12" spans="1:23" ht="15.75" customHeight="1" x14ac:dyDescent="0.3">
      <c r="B12" s="192" t="str">
        <f>'Indicatoren,16-12-21'!B5</f>
        <v>D01b</v>
      </c>
      <c r="C12" s="81" t="str">
        <f>'Indicatoren,16-12-21'!C5</f>
        <v>Onderscheid draagconstructie en installaties (herbestemmingsdynamiek)</v>
      </c>
      <c r="D12" s="81"/>
      <c r="E12" s="82"/>
      <c r="F12" s="168"/>
      <c r="G12" s="168" t="s">
        <v>22</v>
      </c>
      <c r="H12" s="168"/>
      <c r="I12" s="168"/>
      <c r="J12" s="169">
        <f t="shared" si="1"/>
        <v>1</v>
      </c>
      <c r="L12" s="220" t="s">
        <v>4</v>
      </c>
      <c r="O12" s="152">
        <f>IF(AND($D$4="Woon",$D$5="niet-binnenstedelijk"),1,0)</f>
        <v>1</v>
      </c>
      <c r="P12" s="152" t="s">
        <v>25</v>
      </c>
    </row>
    <row r="13" spans="1:23" ht="15.75" customHeight="1" x14ac:dyDescent="0.3">
      <c r="B13" s="192" t="str">
        <f>'Indicatoren,16-12-21'!B6</f>
        <v>D02a</v>
      </c>
      <c r="C13" s="81" t="str">
        <f>'Indicatoren,16-12-21'!C6</f>
        <v>Overmaat gebouwoppervlak</v>
      </c>
      <c r="D13" s="81"/>
      <c r="E13" s="82"/>
      <c r="F13" s="168"/>
      <c r="G13" s="168" t="s">
        <v>22</v>
      </c>
      <c r="H13" s="168"/>
      <c r="I13" s="168"/>
      <c r="J13" s="169">
        <f t="shared" si="1"/>
        <v>1</v>
      </c>
      <c r="L13" s="156" t="s">
        <v>26</v>
      </c>
      <c r="O13" s="152">
        <f>IF(AND($D$4="Kantoor",$D$5="binnenstedelijk"),1,0)</f>
        <v>0</v>
      </c>
      <c r="P13" s="152" t="s">
        <v>27</v>
      </c>
    </row>
    <row r="14" spans="1:23" ht="15.75" customHeight="1" x14ac:dyDescent="0.3">
      <c r="B14" s="193" t="str">
        <f>'Indicatoren,16-12-21'!B7</f>
        <v>D02b</v>
      </c>
      <c r="C14" s="84" t="str">
        <f>'Indicatoren,16-12-21'!C7</f>
        <v>Overmaat woning</v>
      </c>
      <c r="D14" s="84"/>
      <c r="E14" s="85"/>
      <c r="F14" s="168"/>
      <c r="G14" s="168" t="s">
        <v>22</v>
      </c>
      <c r="H14" s="168"/>
      <c r="I14" s="168"/>
      <c r="J14" s="86">
        <f t="shared" si="1"/>
        <v>1</v>
      </c>
      <c r="L14" s="159"/>
      <c r="O14" s="152">
        <f>IF(AND($D$4="Kantoor",$D$5="niet-binnenstedelijk"),1,0)</f>
        <v>0</v>
      </c>
      <c r="P14" s="152" t="s">
        <v>28</v>
      </c>
    </row>
    <row r="15" spans="1:23" ht="15.75" customHeight="1" x14ac:dyDescent="0.3">
      <c r="B15" s="193" t="str">
        <f>'Indicatoren,16-12-21'!B8</f>
        <v>D03</v>
      </c>
      <c r="C15" s="84" t="str">
        <f>'Indicatoren,16-12-21'!C8</f>
        <v>Vrije verdiepingshoogte</v>
      </c>
      <c r="D15" s="84"/>
      <c r="E15" s="85"/>
      <c r="F15" s="168"/>
      <c r="G15" s="168" t="s">
        <v>22</v>
      </c>
      <c r="H15" s="168"/>
      <c r="I15" s="168"/>
      <c r="J15" s="86">
        <f t="shared" si="1"/>
        <v>1</v>
      </c>
      <c r="L15" s="156" t="s">
        <v>5</v>
      </c>
      <c r="O15" s="152">
        <f>IF(AND($D$4="Winkel",$D$5="binnenstedelijk"),1,0)</f>
        <v>0</v>
      </c>
      <c r="P15" s="152" t="s">
        <v>29</v>
      </c>
    </row>
    <row r="16" spans="1:23" ht="15.75" customHeight="1" x14ac:dyDescent="0.3">
      <c r="B16" s="193" t="str">
        <f>'Indicatoren,16-12-21'!B9</f>
        <v>D04</v>
      </c>
      <c r="C16" s="84" t="str">
        <f>'Indicatoren,16-12-21'!C9</f>
        <v>Overdimensionering bouwkundige ruimte/reservering voor E&amp;W- installaties en schachten</v>
      </c>
      <c r="D16" s="84"/>
      <c r="E16" s="85"/>
      <c r="F16" s="168"/>
      <c r="G16" s="168" t="s">
        <v>22</v>
      </c>
      <c r="H16" s="168"/>
      <c r="I16" s="168"/>
      <c r="J16" s="86">
        <f t="shared" si="1"/>
        <v>1</v>
      </c>
      <c r="L16" s="156" t="s">
        <v>30</v>
      </c>
      <c r="O16" s="152">
        <f>IF(AND($D$4="Winkel",$D$5="niet-binnenstedelijk"),1,0)</f>
        <v>0</v>
      </c>
      <c r="P16" s="152" t="s">
        <v>31</v>
      </c>
    </row>
    <row r="17" spans="2:16" ht="15.75" customHeight="1" x14ac:dyDescent="0.3">
      <c r="B17" s="193" t="str">
        <f>'Indicatoren,16-12-21'!B10</f>
        <v>D05</v>
      </c>
      <c r="C17" s="84" t="str">
        <f>'Indicatoren,16-12-21'!C10</f>
        <v xml:space="preserve">Uitbreidbaar gebouw of woning/unit, horizontaal en/of vertikaal
</v>
      </c>
      <c r="D17" s="84"/>
      <c r="E17" s="85"/>
      <c r="F17" s="168"/>
      <c r="G17" s="168" t="s">
        <v>22</v>
      </c>
      <c r="H17" s="168"/>
      <c r="I17" s="168"/>
      <c r="J17" s="86">
        <f t="shared" si="1"/>
        <v>1</v>
      </c>
      <c r="L17" s="156" t="s">
        <v>6</v>
      </c>
      <c r="O17" s="152">
        <f>IF(AND($D$4="Utiliteit,overig",$D$5="binnenstedelijk"),1,0)</f>
        <v>0</v>
      </c>
      <c r="P17" s="152" t="s">
        <v>32</v>
      </c>
    </row>
    <row r="18" spans="2:16" ht="15.75" customHeight="1" x14ac:dyDescent="0.3">
      <c r="B18" s="193" t="str">
        <f>'Indicatoren,16-12-21'!B11</f>
        <v>D06</v>
      </c>
      <c r="C18" s="84" t="str">
        <f>'Indicatoren,16-12-21'!C11</f>
        <v xml:space="preserve">Instelbaarheid van installaties
</v>
      </c>
      <c r="D18" s="84"/>
      <c r="E18" s="85"/>
      <c r="F18" s="168"/>
      <c r="G18" s="168" t="s">
        <v>22</v>
      </c>
      <c r="H18" s="168"/>
      <c r="I18" s="168"/>
      <c r="J18" s="86">
        <f t="shared" si="1"/>
        <v>1</v>
      </c>
      <c r="L18" s="159"/>
      <c r="O18" s="152">
        <f>IF(AND($D$4="Utiliteit,overig",$D$5="niet-binnenstedelijk"),1,0)</f>
        <v>0</v>
      </c>
      <c r="P18" s="152" t="s">
        <v>33</v>
      </c>
    </row>
    <row r="19" spans="2:16" ht="15.75" customHeight="1" x14ac:dyDescent="0.3">
      <c r="B19" s="193" t="str">
        <f>'Indicatoren,16-12-21'!B12</f>
        <v>D07</v>
      </c>
      <c r="C19" s="84" t="str">
        <f>'Indicatoren,16-12-21'!C12</f>
        <v xml:space="preserve">Verplaatsbare binnenwanden
</v>
      </c>
      <c r="D19" s="84"/>
      <c r="E19" s="85"/>
      <c r="F19" s="168"/>
      <c r="G19" s="168" t="s">
        <v>22</v>
      </c>
      <c r="H19" s="168"/>
      <c r="I19" s="168"/>
      <c r="J19" s="86">
        <f t="shared" si="1"/>
        <v>1</v>
      </c>
      <c r="L19" s="157" t="s">
        <v>34</v>
      </c>
      <c r="M19" s="157"/>
      <c r="O19" s="218" t="s">
        <v>35</v>
      </c>
    </row>
    <row r="20" spans="2:16" ht="15.75" customHeight="1" x14ac:dyDescent="0.25">
      <c r="B20" s="193" t="str">
        <f>'Indicatoren,16-12-21'!B13</f>
        <v>D08</v>
      </c>
      <c r="C20" s="84" t="str">
        <f>'Indicatoren,16-12-21'!C13</f>
        <v xml:space="preserve">Ontkoppelbaarheid en bereikbaarheid installatiecomponenten
</v>
      </c>
      <c r="D20" s="84"/>
      <c r="E20" s="85"/>
      <c r="F20" s="168"/>
      <c r="G20" s="168" t="s">
        <v>22</v>
      </c>
      <c r="H20" s="168"/>
      <c r="I20" s="168"/>
      <c r="J20" s="86">
        <f t="shared" si="1"/>
        <v>1</v>
      </c>
      <c r="L20" s="347" t="s">
        <v>36</v>
      </c>
      <c r="M20" s="347"/>
      <c r="O20" s="212">
        <f>IF(OR($O$11=1,$O$12=1),0,1)</f>
        <v>0</v>
      </c>
    </row>
    <row r="21" spans="2:16" ht="15.75" customHeight="1" x14ac:dyDescent="0.25">
      <c r="B21" s="193" t="str">
        <f>'Indicatoren,16-12-21'!B14</f>
        <v>D09</v>
      </c>
      <c r="C21" s="84" t="str">
        <f>'Indicatoren,16-12-21'!C14</f>
        <v>Positionering obstakels draagstructuur</v>
      </c>
      <c r="D21" s="84"/>
      <c r="E21" s="85"/>
      <c r="F21" s="168"/>
      <c r="G21" s="168" t="s">
        <v>22</v>
      </c>
      <c r="H21" s="168"/>
      <c r="I21" s="168"/>
      <c r="J21" s="86">
        <f t="shared" si="1"/>
        <v>1</v>
      </c>
      <c r="L21" s="347" t="s">
        <v>10</v>
      </c>
      <c r="M21" s="347"/>
      <c r="O21" s="213"/>
    </row>
    <row r="22" spans="2:16" ht="15.75" customHeight="1" x14ac:dyDescent="0.25">
      <c r="B22" s="193" t="str">
        <f>'Indicatoren,16-12-21'!B15</f>
        <v>D10</v>
      </c>
      <c r="C22" s="84" t="str">
        <f>'Indicatoren,16-12-21'!C15</f>
        <v xml:space="preserve">Daglichttoetreding
</v>
      </c>
      <c r="D22" s="84"/>
      <c r="E22" s="85"/>
      <c r="F22" s="168"/>
      <c r="G22" s="168" t="s">
        <v>22</v>
      </c>
      <c r="H22" s="168"/>
      <c r="I22" s="168"/>
      <c r="J22" s="86">
        <f t="shared" si="1"/>
        <v>1</v>
      </c>
      <c r="L22" s="331">
        <f>IF($D$9="gebruik defaults",1,0)</f>
        <v>1</v>
      </c>
      <c r="M22" s="331"/>
      <c r="O22" s="213"/>
    </row>
    <row r="23" spans="2:16" ht="15.75" customHeight="1" x14ac:dyDescent="0.3">
      <c r="B23" s="193" t="str">
        <f>'Indicatoren,16-12-21'!B16</f>
        <v>D11</v>
      </c>
      <c r="C23" s="84" t="str">
        <f>'Indicatoren,16-12-21'!C16</f>
        <v>Aanwezigheid+positie van trappen en/of liften, of uitbredingsmogelijkheden voor trappen/liften</v>
      </c>
      <c r="D23" s="84"/>
      <c r="E23" s="85"/>
      <c r="F23" s="168"/>
      <c r="G23" s="168" t="s">
        <v>22</v>
      </c>
      <c r="H23" s="168"/>
      <c r="I23" s="168"/>
      <c r="J23" s="86">
        <f t="shared" si="1"/>
        <v>1</v>
      </c>
      <c r="L23" s="159"/>
      <c r="O23" s="213"/>
    </row>
    <row r="24" spans="2:16" ht="15.75" customHeight="1" x14ac:dyDescent="0.3">
      <c r="B24" s="193" t="str">
        <f>'Indicatoren,16-12-21'!B17</f>
        <v>D12</v>
      </c>
      <c r="C24" s="84" t="str">
        <f>'Indicatoren,16-12-21'!C17</f>
        <v xml:space="preserve">Multifunctioneel gebruik gebouw of woning/unit in de tijd
</v>
      </c>
      <c r="D24" s="84"/>
      <c r="E24" s="85"/>
      <c r="F24" s="168"/>
      <c r="G24" s="168" t="s">
        <v>22</v>
      </c>
      <c r="H24" s="168"/>
      <c r="I24" s="168"/>
      <c r="J24" s="86">
        <f t="shared" si="1"/>
        <v>1</v>
      </c>
      <c r="L24" s="159" t="s">
        <v>37</v>
      </c>
      <c r="M24" s="152" t="s">
        <v>16</v>
      </c>
      <c r="O24" s="213"/>
    </row>
    <row r="25" spans="2:16" ht="15.75" customHeight="1" x14ac:dyDescent="0.3">
      <c r="B25" s="193" t="str">
        <f>'Indicatoren,16-12-21'!B18</f>
        <v>D13</v>
      </c>
      <c r="C25" s="84" t="str">
        <f>'Indicatoren,16-12-21'!C18</f>
        <v>Dragende vloeren</v>
      </c>
      <c r="D25" s="84"/>
      <c r="E25" s="85"/>
      <c r="F25" s="168"/>
      <c r="G25" s="168" t="s">
        <v>22</v>
      </c>
      <c r="H25" s="168"/>
      <c r="I25" s="168"/>
      <c r="J25" s="86">
        <f t="shared" si="1"/>
        <v>1</v>
      </c>
      <c r="L25" s="159" t="s">
        <v>12</v>
      </c>
      <c r="M25" s="152">
        <v>0</v>
      </c>
      <c r="O25" s="213"/>
    </row>
    <row r="26" spans="2:16" ht="15.75" customHeight="1" x14ac:dyDescent="0.3">
      <c r="B26" s="194" t="str">
        <f>'Indicatoren,16-12-21'!B19</f>
        <v>D14</v>
      </c>
      <c r="C26" s="170" t="str">
        <f>'Indicatoren,16-12-21'!C19</f>
        <v>Mogelijkheid tot indeling middels een vrij indeelbare plattegrond.</v>
      </c>
      <c r="D26" s="170"/>
      <c r="E26" s="171"/>
      <c r="F26" s="168"/>
      <c r="G26" s="168"/>
      <c r="H26" s="168"/>
      <c r="I26" s="168"/>
      <c r="J26" s="87" t="b">
        <f t="shared" si="1"/>
        <v>0</v>
      </c>
      <c r="L26" s="159" t="s">
        <v>38</v>
      </c>
      <c r="M26" s="152">
        <v>1</v>
      </c>
      <c r="O26" s="213"/>
    </row>
    <row r="27" spans="2:16" ht="15.75" customHeight="1" x14ac:dyDescent="0.3">
      <c r="B27" s="195" t="str">
        <f>'Indicatoren,16-12-21'!B8</f>
        <v>D03</v>
      </c>
      <c r="C27" s="172" t="str">
        <f>'Indicatoren,16-12-21'!C8</f>
        <v>Vrije verdiepingshoogte</v>
      </c>
      <c r="D27" s="172"/>
      <c r="E27" s="173" t="s">
        <v>39</v>
      </c>
      <c r="F27" s="174" t="str">
        <f>IF(F15=0,"",F15)</f>
        <v/>
      </c>
      <c r="G27" s="175" t="s">
        <v>40</v>
      </c>
      <c r="H27" s="176"/>
      <c r="I27" s="177"/>
      <c r="J27" s="178" t="s">
        <v>41</v>
      </c>
      <c r="L27" s="159" t="s">
        <v>42</v>
      </c>
      <c r="M27" s="152">
        <v>2</v>
      </c>
      <c r="O27" s="213"/>
    </row>
    <row r="28" spans="2:16" ht="15.75" customHeight="1" x14ac:dyDescent="0.3">
      <c r="B28" s="196" t="str">
        <f>'Indicatoren,16-12-21'!B15</f>
        <v>D10</v>
      </c>
      <c r="C28" s="74" t="str">
        <f>'Indicatoren,16-12-21'!C15</f>
        <v xml:space="preserve">Daglichttoetreding
</v>
      </c>
      <c r="D28" s="75"/>
      <c r="E28" s="76" t="s">
        <v>43</v>
      </c>
      <c r="F28" s="167" t="str">
        <f>IF(F22=0,"",F22)</f>
        <v/>
      </c>
      <c r="G28" s="77" t="s">
        <v>44</v>
      </c>
      <c r="H28" s="78"/>
      <c r="I28" s="79"/>
      <c r="J28" s="80" t="s">
        <v>41</v>
      </c>
      <c r="L28" s="159" t="s">
        <v>15</v>
      </c>
      <c r="M28" s="152">
        <v>4</v>
      </c>
      <c r="O28" s="213"/>
    </row>
    <row r="29" spans="2:16" ht="15.75" customHeight="1" x14ac:dyDescent="0.3">
      <c r="B29" s="197" t="str">
        <f>'Indicatoren,16-12-21'!B20</f>
        <v>A01</v>
      </c>
      <c r="C29" s="88" t="str">
        <f>'Indicatoren,16-12-21'!C20</f>
        <v xml:space="preserve">Utilitaire functie: afstootbaar deel van gebouw, horizontaal of verticaal, of afstootbare gebruikersunit
</v>
      </c>
      <c r="D29" s="88"/>
      <c r="E29" s="82"/>
      <c r="F29" s="183"/>
      <c r="G29" s="183" t="s">
        <v>22</v>
      </c>
      <c r="H29" s="183"/>
      <c r="I29" s="184"/>
      <c r="J29" s="83">
        <f>IF($O$20=0,0,IF($L$22=1,1,IF($F29="x",0,IF($G29="x",1,IF($H29="x",2,IF($I29="x",4))))))</f>
        <v>0</v>
      </c>
      <c r="L29" s="159"/>
      <c r="O29" s="213"/>
    </row>
    <row r="30" spans="2:16" ht="15.75" customHeight="1" x14ac:dyDescent="0.3">
      <c r="B30" s="193" t="str">
        <f>'Indicatoren,16-12-21'!B21</f>
        <v>A02</v>
      </c>
      <c r="C30" s="84" t="str">
        <f>'Indicatoren,16-12-21'!C21</f>
        <v>Utilitaire functie: mogelijkheid tot verdeling van de oppervlakte in units van de genoemde grootte.</v>
      </c>
      <c r="D30" s="84"/>
      <c r="E30" s="89"/>
      <c r="F30" s="185"/>
      <c r="G30" s="185" t="s">
        <v>22</v>
      </c>
      <c r="H30" s="185"/>
      <c r="I30" s="186"/>
      <c r="J30" s="86">
        <f t="shared" ref="J30:J32" si="2">IF($O$20=0,0,IF($L$22=1,1,IF($F30="x",0,IF($G30="x",1,IF($H30="x",2,IF($I30="x",4))))))</f>
        <v>0</v>
      </c>
      <c r="L30" s="159"/>
      <c r="O30" s="213"/>
    </row>
    <row r="31" spans="2:16" ht="15.75" customHeight="1" x14ac:dyDescent="0.3">
      <c r="B31" s="193" t="str">
        <f>'Indicatoren,16-12-21'!B22</f>
        <v>A03</v>
      </c>
      <c r="C31" s="84" t="str">
        <f>'Indicatoren,16-12-21'!C22</f>
        <v>Utilitaire functie: zelfstandigheid voorzieningen gebruiksunit.</v>
      </c>
      <c r="D31" s="84"/>
      <c r="E31" s="89"/>
      <c r="F31" s="185"/>
      <c r="G31" s="185" t="s">
        <v>22</v>
      </c>
      <c r="H31" s="185"/>
      <c r="I31" s="186"/>
      <c r="J31" s="86">
        <f t="shared" si="2"/>
        <v>0</v>
      </c>
      <c r="L31" s="159"/>
      <c r="O31" s="213"/>
    </row>
    <row r="32" spans="2:16" ht="15.75" customHeight="1" x14ac:dyDescent="0.3">
      <c r="B32" s="193" t="str">
        <f>'Indicatoren,16-12-21'!B23</f>
        <v>A04</v>
      </c>
      <c r="C32" s="84" t="str">
        <f>'Indicatoren,16-12-21'!C23</f>
        <v>Utilitaire functie: te openen ramen.</v>
      </c>
      <c r="D32" s="84"/>
      <c r="E32" s="89"/>
      <c r="F32" s="185"/>
      <c r="G32" s="185" t="s">
        <v>22</v>
      </c>
      <c r="H32" s="185"/>
      <c r="I32" s="186"/>
      <c r="J32" s="86">
        <f t="shared" si="2"/>
        <v>0</v>
      </c>
      <c r="L32" s="159"/>
      <c r="O32" s="213"/>
    </row>
    <row r="33" spans="1:23" ht="15.75" customHeight="1" x14ac:dyDescent="0.3">
      <c r="B33" s="193" t="str">
        <f>'Indicatoren,16-12-21'!B24</f>
        <v>A05</v>
      </c>
      <c r="C33" s="84" t="str">
        <f>'Indicatoren,16-12-21'!C24</f>
        <v>Demontabele gevel</v>
      </c>
      <c r="D33" s="84"/>
      <c r="E33" s="89"/>
      <c r="F33" s="185"/>
      <c r="G33" s="185" t="s">
        <v>22</v>
      </c>
      <c r="H33" s="185"/>
      <c r="I33" s="186"/>
      <c r="J33" s="86">
        <f t="shared" ref="J33:J36" si="3">IF($L$22=1,1,IF($F33="x",0,IF($G33="x",1,IF($H33="x",2,IF($I33="x",4)))))</f>
        <v>1</v>
      </c>
      <c r="O33" s="213"/>
    </row>
    <row r="34" spans="1:23" ht="15.75" customHeight="1" x14ac:dyDescent="0.3">
      <c r="B34" s="193" t="str">
        <f>'Indicatoren,16-12-21'!B25</f>
        <v>A06</v>
      </c>
      <c r="C34" s="84" t="str">
        <f>'Indicatoren,16-12-21'!C25</f>
        <v xml:space="preserve">Aanpasbaarheid gevel (-componenten)
</v>
      </c>
      <c r="D34" s="84"/>
      <c r="E34" s="89"/>
      <c r="F34" s="185"/>
      <c r="G34" s="185" t="s">
        <v>22</v>
      </c>
      <c r="H34" s="185"/>
      <c r="I34" s="186"/>
      <c r="J34" s="86">
        <f t="shared" si="3"/>
        <v>1</v>
      </c>
      <c r="O34" s="213"/>
    </row>
    <row r="35" spans="1:23" s="52" customFormat="1" ht="15.75" customHeight="1" x14ac:dyDescent="0.3">
      <c r="A35" s="7"/>
      <c r="B35" s="193" t="str">
        <f>'Indicatoren,16-12-21'!B26</f>
        <v>A07</v>
      </c>
      <c r="C35" s="84" t="str">
        <f>'Indicatoren,16-12-21'!C26</f>
        <v>Mogelijkheid balkons aan gevel</v>
      </c>
      <c r="D35" s="84"/>
      <c r="E35" s="89"/>
      <c r="F35" s="185"/>
      <c r="G35" s="185" t="s">
        <v>22</v>
      </c>
      <c r="H35" s="185"/>
      <c r="I35" s="186"/>
      <c r="J35" s="86">
        <f t="shared" si="3"/>
        <v>1</v>
      </c>
      <c r="K35" s="216"/>
      <c r="L35" s="156"/>
      <c r="M35" s="152"/>
      <c r="N35" s="215"/>
      <c r="O35" s="215"/>
      <c r="P35" s="216"/>
      <c r="Q35" s="216"/>
      <c r="R35" s="179"/>
      <c r="S35" s="179"/>
      <c r="T35" s="225"/>
      <c r="U35" s="225"/>
      <c r="V35" s="225"/>
      <c r="W35" s="225"/>
    </row>
    <row r="36" spans="1:23" ht="15.75" customHeight="1" x14ac:dyDescent="0.35">
      <c r="B36" s="198" t="str">
        <f>'Indicatoren,16-12-21'!B27</f>
        <v>A08</v>
      </c>
      <c r="C36" s="90" t="str">
        <f>'Indicatoren,16-12-21'!C27</f>
        <v>Verticale uitbreiding: ontsluiting</v>
      </c>
      <c r="D36" s="90"/>
      <c r="E36" s="91"/>
      <c r="F36" s="187"/>
      <c r="G36" s="187" t="s">
        <v>22</v>
      </c>
      <c r="H36" s="187"/>
      <c r="I36" s="188"/>
      <c r="J36" s="92">
        <f t="shared" si="3"/>
        <v>1</v>
      </c>
      <c r="L36" s="221"/>
      <c r="M36" s="158"/>
    </row>
    <row r="37" spans="1:23" ht="24.75" customHeight="1" x14ac:dyDescent="0.3">
      <c r="A37" s="154"/>
      <c r="B37" s="338" t="s">
        <v>45</v>
      </c>
      <c r="C37" s="339"/>
      <c r="D37" s="339"/>
      <c r="E37" s="339"/>
      <c r="F37" s="339"/>
      <c r="G37" s="339"/>
      <c r="H37" s="339"/>
      <c r="I37" s="340"/>
      <c r="J37" s="322" t="s">
        <v>46</v>
      </c>
      <c r="M37" s="153"/>
    </row>
    <row r="38" spans="1:23" ht="24.75" customHeight="1" x14ac:dyDescent="0.3">
      <c r="B38" s="199"/>
      <c r="C38" s="93" t="s">
        <v>359</v>
      </c>
      <c r="D38" s="93"/>
      <c r="E38" s="93"/>
      <c r="F38" s="93"/>
      <c r="G38" s="93"/>
      <c r="H38" s="94"/>
      <c r="I38" s="95" t="s">
        <v>360</v>
      </c>
      <c r="J38" s="323">
        <f>J41*0.25</f>
        <v>0.24887499999999999</v>
      </c>
      <c r="M38" s="153"/>
    </row>
    <row r="39" spans="1:23" ht="15.75" customHeight="1" x14ac:dyDescent="0.3">
      <c r="B39" s="200"/>
      <c r="C39" s="200"/>
      <c r="D39" s="200"/>
      <c r="E39" s="200"/>
      <c r="F39" s="200"/>
      <c r="G39" s="200"/>
      <c r="H39" s="200"/>
      <c r="I39" s="200"/>
      <c r="J39" s="200"/>
      <c r="M39" s="153"/>
    </row>
    <row r="40" spans="1:23" ht="15.75" customHeight="1" x14ac:dyDescent="0.3">
      <c r="B40" s="200"/>
      <c r="C40" s="93"/>
      <c r="D40" s="93"/>
      <c r="E40" s="93"/>
      <c r="F40" s="93"/>
      <c r="G40" s="341" t="s">
        <v>48</v>
      </c>
      <c r="H40" s="341"/>
      <c r="I40" s="342"/>
      <c r="J40" s="96" t="s">
        <v>49</v>
      </c>
      <c r="M40" s="153"/>
    </row>
    <row r="41" spans="1:23" ht="15.75" customHeight="1" x14ac:dyDescent="0.3">
      <c r="B41" s="200"/>
      <c r="C41" s="93" t="s">
        <v>47</v>
      </c>
      <c r="D41" s="93"/>
      <c r="E41" s="93"/>
      <c r="F41" s="321" t="s">
        <v>358</v>
      </c>
      <c r="G41" s="319"/>
      <c r="H41" s="319">
        <v>1</v>
      </c>
      <c r="I41" s="320"/>
      <c r="J41" s="324">
        <f>G42*J42+G43*J43</f>
        <v>0.99549999999999994</v>
      </c>
      <c r="M41" s="153"/>
    </row>
    <row r="42" spans="1:23" ht="15.75" customHeight="1" x14ac:dyDescent="0.3">
      <c r="B42" s="201"/>
      <c r="C42" s="97" t="s">
        <v>50</v>
      </c>
      <c r="D42" s="97"/>
      <c r="E42" s="97"/>
      <c r="F42" s="97"/>
      <c r="G42" s="343">
        <f>'Weegfactoren,14-06-21'!AD4</f>
        <v>0.7</v>
      </c>
      <c r="H42" s="343"/>
      <c r="I42" s="344"/>
      <c r="J42" s="182">
        <f>J46</f>
        <v>1</v>
      </c>
      <c r="N42" s="213"/>
      <c r="O42" s="213"/>
    </row>
    <row r="43" spans="1:23" ht="15.75" customHeight="1" x14ac:dyDescent="0.3">
      <c r="B43" s="201"/>
      <c r="C43" s="97" t="s">
        <v>51</v>
      </c>
      <c r="D43" s="97"/>
      <c r="E43" s="97"/>
      <c r="F43" s="97"/>
      <c r="G43" s="345">
        <f>'Weegfactoren,14-06-21'!AD15</f>
        <v>0.30000000000000004</v>
      </c>
      <c r="H43" s="345"/>
      <c r="I43" s="346"/>
      <c r="J43" s="182">
        <f>J113</f>
        <v>0.98499999999999988</v>
      </c>
      <c r="N43" s="213"/>
      <c r="O43" s="213"/>
    </row>
    <row r="44" spans="1:23" ht="15.75" customHeight="1" x14ac:dyDescent="0.3">
      <c r="B44" s="201"/>
      <c r="C44" s="98"/>
      <c r="D44" s="98"/>
      <c r="E44" s="98"/>
      <c r="F44" s="99"/>
      <c r="G44" s="100"/>
      <c r="H44" s="100"/>
      <c r="I44" s="100"/>
      <c r="J44" s="101"/>
    </row>
    <row r="45" spans="1:23" ht="15.75" customHeight="1" x14ac:dyDescent="0.3">
      <c r="B45" s="202"/>
      <c r="C45" s="102" t="s">
        <v>50</v>
      </c>
      <c r="D45" s="103"/>
      <c r="E45" s="103"/>
      <c r="F45" s="104"/>
      <c r="G45" s="329" t="s">
        <v>52</v>
      </c>
      <c r="H45" s="330"/>
      <c r="I45" s="330"/>
      <c r="J45" s="105" t="s">
        <v>46</v>
      </c>
    </row>
    <row r="46" spans="1:23" ht="15.75" customHeight="1" x14ac:dyDescent="0.3">
      <c r="B46" s="203"/>
      <c r="C46" s="103"/>
      <c r="D46" s="103"/>
      <c r="E46" s="103"/>
      <c r="F46" s="104" t="s">
        <v>16</v>
      </c>
      <c r="G46" s="106" t="s">
        <v>53</v>
      </c>
      <c r="H46" s="107" t="s">
        <v>54</v>
      </c>
      <c r="I46" s="108" t="s">
        <v>55</v>
      </c>
      <c r="J46" s="109">
        <f>J47+J66+J90</f>
        <v>1</v>
      </c>
      <c r="M46" s="159"/>
    </row>
    <row r="47" spans="1:23" ht="15.75" customHeight="1" x14ac:dyDescent="0.3">
      <c r="B47" s="204"/>
      <c r="C47" s="110" t="s">
        <v>56</v>
      </c>
      <c r="D47" s="111"/>
      <c r="E47" s="111"/>
      <c r="F47" s="112"/>
      <c r="G47" s="113">
        <f>'Weegfactoren,14-06-21'!AD5</f>
        <v>0.3</v>
      </c>
      <c r="H47" s="36"/>
      <c r="I47" s="114"/>
      <c r="J47" s="161">
        <f>J48+J53+J62</f>
        <v>0.3</v>
      </c>
    </row>
    <row r="48" spans="1:23" ht="15.75" customHeight="1" x14ac:dyDescent="0.25">
      <c r="B48" s="205"/>
      <c r="C48" s="115" t="s">
        <v>57</v>
      </c>
      <c r="D48" s="115"/>
      <c r="E48" s="115"/>
      <c r="F48" s="116"/>
      <c r="G48" s="117"/>
      <c r="H48" s="38">
        <f>'Weegfactoren,14-06-21'!AD6</f>
        <v>0.5</v>
      </c>
      <c r="I48" s="118"/>
      <c r="J48" s="162">
        <f>SUM(J49:J52)</f>
        <v>0.15</v>
      </c>
      <c r="L48" s="222">
        <f>SUM(I49:I52)</f>
        <v>1</v>
      </c>
    </row>
    <row r="49" spans="2:15" ht="15.75" customHeight="1" x14ac:dyDescent="0.25">
      <c r="B49" s="206" t="str">
        <f>'Indicatoren,16-12-21'!B9</f>
        <v>D04</v>
      </c>
      <c r="C49" s="119" t="str">
        <f>VLOOKUP(B49,$B$11:$C$26,2,FALSE)</f>
        <v>Overdimensionering bouwkundige ruimte/reservering voor E&amp;W- installaties en schachten</v>
      </c>
      <c r="D49" s="119"/>
      <c r="E49" s="119"/>
      <c r="F49" s="120">
        <f>VLOOKUP(B49,$B$11:$J$26,9)</f>
        <v>1</v>
      </c>
      <c r="G49" s="121"/>
      <c r="H49" s="122"/>
      <c r="I49" s="123">
        <f>IF($O$20=1,1/(3*1+1*0.25),1/(3*1+0*0.25))</f>
        <v>0.33333333333333331</v>
      </c>
      <c r="J49" s="163">
        <f>F49*$G$47*$H$48*I49</f>
        <v>4.9999999999999996E-2</v>
      </c>
      <c r="L49" s="222"/>
    </row>
    <row r="50" spans="2:15" ht="15.75" customHeight="1" x14ac:dyDescent="0.25">
      <c r="B50" s="207" t="str">
        <f>'Indicatoren,16-12-21'!B10</f>
        <v>D05</v>
      </c>
      <c r="C50" s="124" t="str">
        <f>VLOOKUP(B50,$B$11:$C$26,2,FALSE)</f>
        <v xml:space="preserve">Uitbreidbaar gebouw of woning/unit, horizontaal en/of vertikaal
</v>
      </c>
      <c r="D50" s="124"/>
      <c r="E50" s="124"/>
      <c r="F50" s="120">
        <f>VLOOKUP(B50,$B$11:$J$26,9)</f>
        <v>1</v>
      </c>
      <c r="G50" s="125"/>
      <c r="H50" s="126"/>
      <c r="I50" s="123">
        <f t="shared" ref="I50" si="4">IF($O$20=1,1/(3*1+1*0.25),1/(3*1+0*0.25))</f>
        <v>0.33333333333333331</v>
      </c>
      <c r="J50" s="164">
        <f>F50*$G$47*$H$48*I50</f>
        <v>4.9999999999999996E-2</v>
      </c>
      <c r="L50" s="222"/>
    </row>
    <row r="51" spans="2:15" ht="15.75" customHeight="1" collapsed="1" x14ac:dyDescent="0.25">
      <c r="B51" s="207" t="str">
        <f>'Indicatoren,16-12-21'!B11</f>
        <v>D06</v>
      </c>
      <c r="C51" s="124" t="str">
        <f>VLOOKUP(B51,$B$11:$C$26,2,FALSE)</f>
        <v xml:space="preserve">Instelbaarheid van installaties
</v>
      </c>
      <c r="D51" s="124"/>
      <c r="E51" s="124"/>
      <c r="F51" s="120">
        <f>VLOOKUP(B51,$B$11:$J$26,9)</f>
        <v>1</v>
      </c>
      <c r="G51" s="125"/>
      <c r="H51" s="126"/>
      <c r="I51" s="123">
        <f>IF($O$20=1,1/(3*1+1*0.25),1/(3*1+0*0.25))</f>
        <v>0.33333333333333331</v>
      </c>
      <c r="J51" s="164">
        <f>F51*$G$47*$H$48*I51</f>
        <v>4.9999999999999996E-2</v>
      </c>
      <c r="L51" s="222"/>
    </row>
    <row r="52" spans="2:15" ht="15.75" customHeight="1" x14ac:dyDescent="0.25">
      <c r="B52" s="208" t="str">
        <f>'Indicatoren,16-12-21'!B21</f>
        <v>A02</v>
      </c>
      <c r="C52" s="128" t="str">
        <f>VLOOKUP(B52,$B$29:$C$36,2,FALSE)</f>
        <v>Utilitaire functie: mogelijkheid tot verdeling van de oppervlakte in units van de genoemde grootte.</v>
      </c>
      <c r="D52" s="128"/>
      <c r="E52" s="128"/>
      <c r="F52" s="129">
        <f>VLOOKUP(B52,$B$29:$J$36,9)</f>
        <v>0</v>
      </c>
      <c r="G52" s="130"/>
      <c r="H52" s="131"/>
      <c r="I52" s="132">
        <f>IF($O$20=1,0.25/(3*1+1*0.25),0)</f>
        <v>0</v>
      </c>
      <c r="J52" s="165">
        <f t="shared" ref="J52" si="5">F52*$G$47*$H$48*I52</f>
        <v>0</v>
      </c>
      <c r="L52" s="222"/>
      <c r="N52" s="213"/>
      <c r="O52" s="213"/>
    </row>
    <row r="53" spans="2:15" ht="15.75" customHeight="1" x14ac:dyDescent="0.25">
      <c r="B53" s="205"/>
      <c r="C53" s="115" t="s">
        <v>58</v>
      </c>
      <c r="D53" s="115"/>
      <c r="E53" s="115"/>
      <c r="F53" s="116"/>
      <c r="G53" s="117"/>
      <c r="H53" s="38">
        <f>'Weegfactoren,14-06-21'!AD7</f>
        <v>0.5</v>
      </c>
      <c r="I53" s="118"/>
      <c r="J53" s="162">
        <f>SUM(J54:J61)</f>
        <v>0.15</v>
      </c>
      <c r="L53" s="222">
        <f>SUM(I54:I61)</f>
        <v>0.99999999999999989</v>
      </c>
    </row>
    <row r="54" spans="2:15" ht="15.75" customHeight="1" x14ac:dyDescent="0.25">
      <c r="B54" s="206" t="str">
        <f>'Indicatoren,16-12-21'!B4</f>
        <v>D01a</v>
      </c>
      <c r="C54" s="119" t="str">
        <f t="shared" ref="C54:C60" si="6">VLOOKUP(B54,$B$11:$C$26,2,FALSE)</f>
        <v>Onderscheid draagconstructie en installaties (gebruiksdynamiek)</v>
      </c>
      <c r="D54" s="119"/>
      <c r="E54" s="119"/>
      <c r="F54" s="120">
        <f t="shared" ref="F54:F60" si="7">VLOOKUP(B54,$B$11:$J$26,9)</f>
        <v>1</v>
      </c>
      <c r="G54" s="121"/>
      <c r="H54" s="122"/>
      <c r="I54" s="123">
        <f>IF($O$20=1,1/(6*1+1*0.25),1/(6*1+0*0.25))</f>
        <v>0.16666666666666666</v>
      </c>
      <c r="J54" s="163">
        <f t="shared" ref="J54:J61" si="8">F54*$G$47*$H$53*I54</f>
        <v>2.4999999999999998E-2</v>
      </c>
      <c r="L54" s="222"/>
      <c r="N54" s="213"/>
      <c r="O54" s="213"/>
    </row>
    <row r="55" spans="2:15" ht="15.75" customHeight="1" x14ac:dyDescent="0.25">
      <c r="B55" s="207" t="str">
        <f>'Indicatoren,16-12-21'!B6</f>
        <v>D02a</v>
      </c>
      <c r="C55" s="124" t="str">
        <f t="shared" si="6"/>
        <v>Overmaat gebouwoppervlak</v>
      </c>
      <c r="D55" s="124"/>
      <c r="E55" s="124"/>
      <c r="F55" s="120">
        <f t="shared" si="7"/>
        <v>1</v>
      </c>
      <c r="G55" s="125"/>
      <c r="H55" s="126"/>
      <c r="I55" s="127">
        <f>IF($O$20=1,1/2/(6*1+1*0.25),1/2/(6*1+0*0.25))</f>
        <v>8.3333333333333329E-2</v>
      </c>
      <c r="J55" s="164">
        <f t="shared" ref="J55:J60" si="9">F55*$G$47*$H$53*I55</f>
        <v>1.2499999999999999E-2</v>
      </c>
      <c r="L55" s="222"/>
    </row>
    <row r="56" spans="2:15" ht="15.75" customHeight="1" x14ac:dyDescent="0.25">
      <c r="B56" s="207" t="str">
        <f>'Indicatoren,16-12-21'!B7</f>
        <v>D02b</v>
      </c>
      <c r="C56" s="124" t="str">
        <f t="shared" si="6"/>
        <v>Overmaat woning</v>
      </c>
      <c r="D56" s="124"/>
      <c r="E56" s="124"/>
      <c r="F56" s="120">
        <f t="shared" si="7"/>
        <v>1</v>
      </c>
      <c r="G56" s="125"/>
      <c r="H56" s="126"/>
      <c r="I56" s="127">
        <f>IF($O$20=1,1/2/(6*1+1*0.25),1/2/(6*1+0*0.25))</f>
        <v>8.3333333333333329E-2</v>
      </c>
      <c r="J56" s="164">
        <f t="shared" si="9"/>
        <v>1.2499999999999999E-2</v>
      </c>
      <c r="L56" s="222"/>
    </row>
    <row r="57" spans="2:15" ht="15.75" customHeight="1" x14ac:dyDescent="0.25">
      <c r="B57" s="207" t="str">
        <f>'Indicatoren,16-12-21'!B11</f>
        <v>D06</v>
      </c>
      <c r="C57" s="124" t="str">
        <f t="shared" si="6"/>
        <v xml:space="preserve">Instelbaarheid van installaties
</v>
      </c>
      <c r="D57" s="124"/>
      <c r="E57" s="124"/>
      <c r="F57" s="120">
        <f t="shared" si="7"/>
        <v>1</v>
      </c>
      <c r="G57" s="125"/>
      <c r="H57" s="126"/>
      <c r="I57" s="123">
        <f t="shared" ref="I57:I60" si="10">IF($O$20=1,1/(6*1+1*0.25),1/(6*1+0*0.25))</f>
        <v>0.16666666666666666</v>
      </c>
      <c r="J57" s="164">
        <f t="shared" si="9"/>
        <v>2.4999999999999998E-2</v>
      </c>
      <c r="L57" s="222"/>
      <c r="N57" s="213"/>
      <c r="O57" s="213"/>
    </row>
    <row r="58" spans="2:15" ht="15.75" customHeight="1" x14ac:dyDescent="0.25">
      <c r="B58" s="207" t="str">
        <f>'Indicatoren,16-12-21'!B13</f>
        <v>D08</v>
      </c>
      <c r="C58" s="124" t="str">
        <f t="shared" si="6"/>
        <v xml:space="preserve">Ontkoppelbaarheid en bereikbaarheid installatiecomponenten
</v>
      </c>
      <c r="D58" s="124"/>
      <c r="E58" s="124"/>
      <c r="F58" s="120">
        <f t="shared" si="7"/>
        <v>1</v>
      </c>
      <c r="G58" s="125"/>
      <c r="H58" s="126"/>
      <c r="I58" s="123">
        <f t="shared" si="10"/>
        <v>0.16666666666666666</v>
      </c>
      <c r="J58" s="164">
        <f t="shared" si="9"/>
        <v>2.4999999999999998E-2</v>
      </c>
      <c r="L58" s="222"/>
    </row>
    <row r="59" spans="2:15" ht="15.75" customHeight="1" x14ac:dyDescent="0.25">
      <c r="B59" s="207" t="str">
        <f>'Indicatoren,16-12-21'!B16</f>
        <v>D11</v>
      </c>
      <c r="C59" s="124" t="str">
        <f t="shared" si="6"/>
        <v>Aanwezigheid+positie van trappen en/of liften, of uitbredingsmogelijkheden voor trappen/liften</v>
      </c>
      <c r="D59" s="124"/>
      <c r="E59" s="124"/>
      <c r="F59" s="120">
        <f t="shared" si="7"/>
        <v>1</v>
      </c>
      <c r="G59" s="125"/>
      <c r="H59" s="126"/>
      <c r="I59" s="123">
        <f t="shared" si="10"/>
        <v>0.16666666666666666</v>
      </c>
      <c r="J59" s="164">
        <f t="shared" si="9"/>
        <v>2.4999999999999998E-2</v>
      </c>
      <c r="L59" s="222"/>
      <c r="N59" s="213"/>
      <c r="O59" s="213"/>
    </row>
    <row r="60" spans="2:15" ht="15.75" customHeight="1" collapsed="1" x14ac:dyDescent="0.25">
      <c r="B60" s="207" t="str">
        <f>'Indicatoren,16-12-21'!B17</f>
        <v>D12</v>
      </c>
      <c r="C60" s="124" t="str">
        <f t="shared" si="6"/>
        <v xml:space="preserve">Multifunctioneel gebruik gebouw of woning/unit in de tijd
</v>
      </c>
      <c r="D60" s="124"/>
      <c r="E60" s="124"/>
      <c r="F60" s="120">
        <f t="shared" si="7"/>
        <v>1</v>
      </c>
      <c r="G60" s="125"/>
      <c r="H60" s="126"/>
      <c r="I60" s="123">
        <f t="shared" si="10"/>
        <v>0.16666666666666666</v>
      </c>
      <c r="J60" s="164">
        <f t="shared" si="9"/>
        <v>2.4999999999999998E-2</v>
      </c>
      <c r="L60" s="222"/>
    </row>
    <row r="61" spans="2:15" ht="15.75" customHeight="1" x14ac:dyDescent="0.25">
      <c r="B61" s="207" t="str">
        <f>'Indicatoren,16-12-21'!B20</f>
        <v>A01</v>
      </c>
      <c r="C61" s="133" t="str">
        <f>VLOOKUP(B61,$B$29:$C$36,2,FALSE)</f>
        <v xml:space="preserve">Utilitaire functie: afstootbaar deel van gebouw, horizontaal of verticaal, of afstootbare gebruikersunit
</v>
      </c>
      <c r="D61" s="133"/>
      <c r="E61" s="128"/>
      <c r="F61" s="129">
        <f>VLOOKUP(B61,$B$29:$J$36,9)</f>
        <v>0</v>
      </c>
      <c r="G61" s="134"/>
      <c r="H61" s="135"/>
      <c r="I61" s="136">
        <f>IF($O$20=1,0.25/(6*1+1*0.25),0)</f>
        <v>0</v>
      </c>
      <c r="J61" s="165">
        <f t="shared" si="8"/>
        <v>0</v>
      </c>
      <c r="L61" s="222"/>
    </row>
    <row r="62" spans="2:15" ht="15.75" customHeight="1" x14ac:dyDescent="0.25">
      <c r="B62" s="205"/>
      <c r="C62" s="115" t="s">
        <v>59</v>
      </c>
      <c r="D62" s="115"/>
      <c r="E62" s="115"/>
      <c r="F62" s="116"/>
      <c r="G62" s="117"/>
      <c r="H62" s="38">
        <f>'Weegfactoren,14-06-21'!AD8</f>
        <v>0</v>
      </c>
      <c r="I62" s="118"/>
      <c r="J62" s="162">
        <f>SUM(J63:J65)</f>
        <v>0</v>
      </c>
      <c r="L62" s="222">
        <f>SUM(I63:I65)</f>
        <v>1</v>
      </c>
    </row>
    <row r="63" spans="2:15" ht="15.75" customHeight="1" x14ac:dyDescent="0.25">
      <c r="B63" s="206" t="str">
        <f>'Indicatoren,16-12-21'!B4</f>
        <v>D01a</v>
      </c>
      <c r="C63" s="119" t="str">
        <f>VLOOKUP(B63,$B$11:$C$26,2,FALSE)</f>
        <v>Onderscheid draagconstructie en installaties (gebruiksdynamiek)</v>
      </c>
      <c r="D63" s="119"/>
      <c r="E63" s="119"/>
      <c r="F63" s="120">
        <f>VLOOKUP(B63,$B$11:$J$26,9)</f>
        <v>1</v>
      </c>
      <c r="G63" s="121"/>
      <c r="H63" s="122"/>
      <c r="I63" s="123">
        <f>IF($O$20=1,1/(3*1+0*0.25),1/(3*1+0*0.25))</f>
        <v>0.33333333333333331</v>
      </c>
      <c r="J63" s="163">
        <f>F63*$G$47*$H$62*I63</f>
        <v>0</v>
      </c>
      <c r="L63" s="222"/>
    </row>
    <row r="64" spans="2:15" ht="15.75" customHeight="1" collapsed="1" x14ac:dyDescent="0.25">
      <c r="B64" s="207" t="str">
        <f>'Indicatoren,16-12-21'!B12</f>
        <v>D07</v>
      </c>
      <c r="C64" s="124" t="str">
        <f>VLOOKUP(B64,$B$11:$C$26,2,FALSE)</f>
        <v xml:space="preserve">Verplaatsbare binnenwanden
</v>
      </c>
      <c r="D64" s="124"/>
      <c r="E64" s="124"/>
      <c r="F64" s="120">
        <f>VLOOKUP(B64,$B$11:$J$26,9)</f>
        <v>1</v>
      </c>
      <c r="G64" s="125"/>
      <c r="H64" s="126"/>
      <c r="I64" s="123">
        <f t="shared" ref="I64:I65" si="11">IF($O$20=1,1/(3*1+0*0.25),1/(3*1+0*0.25))</f>
        <v>0.33333333333333331</v>
      </c>
      <c r="J64" s="164">
        <f>F64*$G$47*$H$62*I64</f>
        <v>0</v>
      </c>
      <c r="L64" s="222"/>
    </row>
    <row r="65" spans="1:23" ht="15.75" customHeight="1" x14ac:dyDescent="0.3">
      <c r="B65" s="208" t="str">
        <f>'Indicatoren,16-12-21'!B13</f>
        <v>D08</v>
      </c>
      <c r="C65" s="128" t="str">
        <f>VLOOKUP(B65,$B$11:$C$26,2,FALSE)</f>
        <v xml:space="preserve">Ontkoppelbaarheid en bereikbaarheid installatiecomponenten
</v>
      </c>
      <c r="D65" s="128"/>
      <c r="E65" s="128"/>
      <c r="F65" s="120">
        <f>VLOOKUP(B65,$B$11:$J$26,9)</f>
        <v>1</v>
      </c>
      <c r="G65" s="130"/>
      <c r="H65" s="131"/>
      <c r="I65" s="123">
        <f t="shared" si="11"/>
        <v>0.33333333333333331</v>
      </c>
      <c r="J65" s="165">
        <f>F65*$G$47*$H$62*I65</f>
        <v>0</v>
      </c>
      <c r="L65" s="222"/>
      <c r="M65" s="159"/>
    </row>
    <row r="66" spans="1:23" s="137" customFormat="1" ht="15.75" customHeight="1" x14ac:dyDescent="0.3">
      <c r="A66" s="7"/>
      <c r="B66" s="204"/>
      <c r="C66" s="110" t="s">
        <v>60</v>
      </c>
      <c r="D66" s="111"/>
      <c r="E66" s="111"/>
      <c r="F66" s="112"/>
      <c r="G66" s="113">
        <f>'Weegfactoren,14-06-21'!AD9</f>
        <v>0.3</v>
      </c>
      <c r="H66" s="36"/>
      <c r="I66" s="114"/>
      <c r="J66" s="161">
        <f>J67+J80</f>
        <v>0.3</v>
      </c>
      <c r="K66" s="218"/>
      <c r="L66" s="222"/>
      <c r="M66" s="152"/>
      <c r="N66" s="217"/>
      <c r="O66" s="217"/>
      <c r="P66" s="218"/>
      <c r="Q66" s="218"/>
      <c r="R66" s="181"/>
      <c r="S66" s="181"/>
      <c r="T66" s="226"/>
      <c r="U66" s="226"/>
      <c r="V66" s="226"/>
      <c r="W66" s="226"/>
    </row>
    <row r="67" spans="1:23" ht="15.75" customHeight="1" x14ac:dyDescent="0.25">
      <c r="B67" s="205"/>
      <c r="C67" s="115" t="s">
        <v>61</v>
      </c>
      <c r="D67" s="115"/>
      <c r="E67" s="115"/>
      <c r="F67" s="116"/>
      <c r="G67" s="117"/>
      <c r="H67" s="38">
        <f>'Weegfactoren,14-06-21'!AD10</f>
        <v>0.3</v>
      </c>
      <c r="I67" s="118"/>
      <c r="J67" s="162">
        <f>IF($F$28="x",0,SUM(J68:J79))</f>
        <v>8.9999999999999983E-2</v>
      </c>
      <c r="L67" s="222">
        <f>SUM(I68:I79)</f>
        <v>0.99999999999999989</v>
      </c>
    </row>
    <row r="68" spans="1:23" ht="15.75" customHeight="1" x14ac:dyDescent="0.3">
      <c r="A68" s="160"/>
      <c r="B68" s="206" t="str">
        <f>'Indicatoren,16-12-21'!B4</f>
        <v>D01a</v>
      </c>
      <c r="C68" s="119" t="str">
        <f t="shared" ref="C68:C78" si="12">VLOOKUP(B68,$B$11:$C$26,2,FALSE)</f>
        <v>Onderscheid draagconstructie en installaties (gebruiksdynamiek)</v>
      </c>
      <c r="D68" s="119"/>
      <c r="E68" s="119"/>
      <c r="F68" s="120">
        <f t="shared" ref="F68:F78" si="13">VLOOKUP(B68,$B$11:$J$26,9)</f>
        <v>1</v>
      </c>
      <c r="G68" s="121"/>
      <c r="H68" s="122"/>
      <c r="I68" s="123">
        <f>IF($O$20=1,1/(10*1+1*0.25),1/(10*1+0*0.25))</f>
        <v>0.1</v>
      </c>
      <c r="J68" s="163">
        <f>F68*$G$66*$H$67*I68</f>
        <v>8.9999999999999993E-3</v>
      </c>
      <c r="L68" s="222"/>
    </row>
    <row r="69" spans="1:23" ht="15.75" customHeight="1" x14ac:dyDescent="0.25">
      <c r="B69" s="207" t="str">
        <f>'Indicatoren,16-12-21'!B6</f>
        <v>D02a</v>
      </c>
      <c r="C69" s="119" t="str">
        <f t="shared" si="12"/>
        <v>Overmaat gebouwoppervlak</v>
      </c>
      <c r="D69" s="124"/>
      <c r="E69" s="124"/>
      <c r="F69" s="120">
        <f t="shared" si="13"/>
        <v>1</v>
      </c>
      <c r="G69" s="125"/>
      <c r="H69" s="126"/>
      <c r="I69" s="123">
        <f>IF($O$20=1,1/2/(10*1+1*0.25),1/2/(10*1+0*0.25))</f>
        <v>0.05</v>
      </c>
      <c r="J69" s="164">
        <f>F69*$G$66*$H$67*I69</f>
        <v>4.4999999999999997E-3</v>
      </c>
      <c r="L69" s="222"/>
    </row>
    <row r="70" spans="1:23" ht="15.75" customHeight="1" x14ac:dyDescent="0.25">
      <c r="B70" s="207" t="str">
        <f>'Indicatoren,16-12-21'!B7</f>
        <v>D02b</v>
      </c>
      <c r="C70" s="119" t="str">
        <f t="shared" si="12"/>
        <v>Overmaat woning</v>
      </c>
      <c r="D70" s="124"/>
      <c r="E70" s="124"/>
      <c r="F70" s="120">
        <f t="shared" si="13"/>
        <v>1</v>
      </c>
      <c r="G70" s="125"/>
      <c r="H70" s="126"/>
      <c r="I70" s="123">
        <f>IF($O$20=1,1/2/(10*1+1*0.25),1/2/(10*1+0*0.25))</f>
        <v>0.05</v>
      </c>
      <c r="J70" s="164">
        <f>F70*$G$66*$H$67*I70</f>
        <v>4.4999999999999997E-3</v>
      </c>
      <c r="L70" s="222"/>
    </row>
    <row r="71" spans="1:23" ht="15.75" customHeight="1" x14ac:dyDescent="0.25">
      <c r="B71" s="207" t="str">
        <f>'Indicatoren,16-12-21'!B8</f>
        <v>D03</v>
      </c>
      <c r="C71" s="119" t="str">
        <f t="shared" si="12"/>
        <v>Vrije verdiepingshoogte</v>
      </c>
      <c r="D71" s="124"/>
      <c r="E71" s="124"/>
      <c r="F71" s="120">
        <f t="shared" si="13"/>
        <v>1</v>
      </c>
      <c r="G71" s="125"/>
      <c r="H71" s="126"/>
      <c r="I71" s="123">
        <f t="shared" ref="I71:I78" si="14">IF($O$20=1,1/(10*1+1*0.25),1/(10*1+0*0.25))</f>
        <v>0.1</v>
      </c>
      <c r="J71" s="164">
        <f t="shared" ref="J71:J79" si="15">F71*$G$66*$H$67*I71</f>
        <v>8.9999999999999993E-3</v>
      </c>
      <c r="L71" s="222"/>
    </row>
    <row r="72" spans="1:23" ht="15.75" customHeight="1" x14ac:dyDescent="0.25">
      <c r="B72" s="207" t="str">
        <f>'Indicatoren,16-12-21'!B11</f>
        <v>D06</v>
      </c>
      <c r="C72" s="119" t="str">
        <f t="shared" si="12"/>
        <v xml:space="preserve">Instelbaarheid van installaties
</v>
      </c>
      <c r="D72" s="124"/>
      <c r="E72" s="124"/>
      <c r="F72" s="120">
        <f t="shared" si="13"/>
        <v>1</v>
      </c>
      <c r="G72" s="125"/>
      <c r="H72" s="126"/>
      <c r="I72" s="123">
        <f>IF($O$20=1,1/(10*1+1*0.25),1/(10*1+0*0.25))</f>
        <v>0.1</v>
      </c>
      <c r="J72" s="164">
        <f>F72*$G$66*$H$67*I72</f>
        <v>8.9999999999999993E-3</v>
      </c>
      <c r="L72" s="222"/>
    </row>
    <row r="73" spans="1:23" ht="15.75" customHeight="1" x14ac:dyDescent="0.25">
      <c r="B73" s="207" t="str">
        <f>'Indicatoren,16-12-21'!B12</f>
        <v>D07</v>
      </c>
      <c r="C73" s="119" t="str">
        <f t="shared" si="12"/>
        <v xml:space="preserve">Verplaatsbare binnenwanden
</v>
      </c>
      <c r="D73" s="124"/>
      <c r="E73" s="124"/>
      <c r="F73" s="120">
        <f t="shared" si="13"/>
        <v>1</v>
      </c>
      <c r="G73" s="125"/>
      <c r="H73" s="126"/>
      <c r="I73" s="123">
        <f t="shared" si="14"/>
        <v>0.1</v>
      </c>
      <c r="J73" s="164">
        <f>F73*$G$66*$H$67*I73</f>
        <v>8.9999999999999993E-3</v>
      </c>
      <c r="L73" s="222"/>
    </row>
    <row r="74" spans="1:23" ht="15.75" customHeight="1" x14ac:dyDescent="0.25">
      <c r="B74" s="207" t="str">
        <f>'Indicatoren,16-12-21'!B13</f>
        <v>D08</v>
      </c>
      <c r="C74" s="119" t="str">
        <f t="shared" si="12"/>
        <v xml:space="preserve">Ontkoppelbaarheid en bereikbaarheid installatiecomponenten
</v>
      </c>
      <c r="D74" s="124"/>
      <c r="E74" s="124"/>
      <c r="F74" s="120">
        <f t="shared" si="13"/>
        <v>1</v>
      </c>
      <c r="G74" s="125"/>
      <c r="H74" s="126"/>
      <c r="I74" s="123">
        <f t="shared" si="14"/>
        <v>0.1</v>
      </c>
      <c r="J74" s="164">
        <f>F74*$G$66*$H$67*I74</f>
        <v>8.9999999999999993E-3</v>
      </c>
      <c r="L74" s="222"/>
    </row>
    <row r="75" spans="1:23" ht="15.75" customHeight="1" x14ac:dyDescent="0.25">
      <c r="B75" s="207" t="str">
        <f>'Indicatoren,16-12-21'!B14</f>
        <v>D09</v>
      </c>
      <c r="C75" s="119" t="str">
        <f t="shared" si="12"/>
        <v>Positionering obstakels draagstructuur</v>
      </c>
      <c r="D75" s="124"/>
      <c r="E75" s="124"/>
      <c r="F75" s="120">
        <f t="shared" si="13"/>
        <v>1</v>
      </c>
      <c r="G75" s="125"/>
      <c r="H75" s="126"/>
      <c r="I75" s="123">
        <f t="shared" si="14"/>
        <v>0.1</v>
      </c>
      <c r="J75" s="164">
        <f t="shared" ref="J75" si="16">F75*$G$66*$H$67*I75</f>
        <v>8.9999999999999993E-3</v>
      </c>
      <c r="L75" s="222"/>
    </row>
    <row r="76" spans="1:23" ht="15.75" customHeight="1" x14ac:dyDescent="0.25">
      <c r="B76" s="207" t="str">
        <f>'Indicatoren,16-12-21'!B15</f>
        <v>D10</v>
      </c>
      <c r="C76" s="119" t="str">
        <f t="shared" si="12"/>
        <v xml:space="preserve">Daglichttoetreding
</v>
      </c>
      <c r="D76" s="124"/>
      <c r="E76" s="124"/>
      <c r="F76" s="120">
        <f t="shared" si="13"/>
        <v>1</v>
      </c>
      <c r="G76" s="125"/>
      <c r="H76" s="126"/>
      <c r="I76" s="123">
        <f t="shared" si="14"/>
        <v>0.1</v>
      </c>
      <c r="J76" s="164">
        <f t="shared" si="15"/>
        <v>8.9999999999999993E-3</v>
      </c>
      <c r="L76" s="222"/>
    </row>
    <row r="77" spans="1:23" ht="15.75" customHeight="1" x14ac:dyDescent="0.25">
      <c r="B77" s="207" t="str">
        <f>'Indicatoren,16-12-21'!B17</f>
        <v>D12</v>
      </c>
      <c r="C77" s="119" t="str">
        <f t="shared" si="12"/>
        <v xml:space="preserve">Multifunctioneel gebruik gebouw of woning/unit in de tijd
</v>
      </c>
      <c r="D77" s="124"/>
      <c r="E77" s="124"/>
      <c r="F77" s="120">
        <f t="shared" si="13"/>
        <v>1</v>
      </c>
      <c r="G77" s="125"/>
      <c r="H77" s="126"/>
      <c r="I77" s="123">
        <f t="shared" si="14"/>
        <v>0.1</v>
      </c>
      <c r="J77" s="164">
        <f t="shared" si="15"/>
        <v>8.9999999999999993E-3</v>
      </c>
      <c r="L77" s="222"/>
    </row>
    <row r="78" spans="1:23" ht="15.75" customHeight="1" collapsed="1" x14ac:dyDescent="0.25">
      <c r="B78" s="207" t="str">
        <f>'Indicatoren,16-12-21'!B18</f>
        <v>D13</v>
      </c>
      <c r="C78" s="119" t="str">
        <f t="shared" si="12"/>
        <v>Dragende vloeren</v>
      </c>
      <c r="D78" s="124"/>
      <c r="E78" s="124"/>
      <c r="F78" s="120">
        <f t="shared" si="13"/>
        <v>1</v>
      </c>
      <c r="G78" s="125"/>
      <c r="H78" s="126"/>
      <c r="I78" s="123">
        <f t="shared" si="14"/>
        <v>0.1</v>
      </c>
      <c r="J78" s="164">
        <f t="shared" si="15"/>
        <v>8.9999999999999993E-3</v>
      </c>
      <c r="L78" s="222"/>
    </row>
    <row r="79" spans="1:23" s="7" customFormat="1" ht="15.75" customHeight="1" x14ac:dyDescent="0.25">
      <c r="B79" s="207" t="str">
        <f>'Indicatoren,16-12-21'!B21</f>
        <v>A02</v>
      </c>
      <c r="C79" s="133" t="str">
        <f>VLOOKUP(B79,$B$29:$C$36,2,FALSE)</f>
        <v>Utilitaire functie: mogelijkheid tot verdeling van de oppervlakte in units van de genoemde grootte.</v>
      </c>
      <c r="D79" s="138"/>
      <c r="E79" s="124"/>
      <c r="F79" s="129">
        <f>VLOOKUP(B79,$B$29:$J$36,9)</f>
        <v>0</v>
      </c>
      <c r="G79" s="134"/>
      <c r="H79" s="135"/>
      <c r="I79" s="132">
        <f>IF($O$20=1,0.25/(10*1+1*0.25),0)</f>
        <v>0</v>
      </c>
      <c r="J79" s="165">
        <f t="shared" si="15"/>
        <v>0</v>
      </c>
      <c r="K79" s="223"/>
      <c r="L79" s="222"/>
      <c r="M79" s="152"/>
      <c r="N79" s="212"/>
      <c r="O79" s="212"/>
      <c r="P79" s="213"/>
      <c r="Q79" s="213"/>
      <c r="R79" s="180"/>
      <c r="S79" s="180"/>
      <c r="T79" s="180"/>
      <c r="U79" s="180"/>
      <c r="V79" s="180"/>
      <c r="W79" s="180"/>
    </row>
    <row r="80" spans="1:23" ht="15.75" customHeight="1" x14ac:dyDescent="0.25">
      <c r="B80" s="209"/>
      <c r="C80" s="139" t="s">
        <v>62</v>
      </c>
      <c r="D80" s="139"/>
      <c r="E80" s="139"/>
      <c r="F80" s="140"/>
      <c r="G80" s="117"/>
      <c r="H80" s="38">
        <f>'Weegfactoren,14-06-21'!AD11</f>
        <v>0.7</v>
      </c>
      <c r="I80" s="118"/>
      <c r="J80" s="162">
        <f>IF($F$28="x",0,SUM(J81:J89))</f>
        <v>0.21</v>
      </c>
      <c r="L80" s="222">
        <f>SUM(I81:I89)</f>
        <v>0.99999999999999989</v>
      </c>
    </row>
    <row r="81" spans="1:23" ht="15.75" customHeight="1" x14ac:dyDescent="0.25">
      <c r="A81" s="141"/>
      <c r="B81" s="206" t="str">
        <f>'Indicatoren,16-12-21'!B4</f>
        <v>D01a</v>
      </c>
      <c r="C81" s="119" t="str">
        <f t="shared" ref="C81:C87" si="17">VLOOKUP(B81,$B$11:$C$26,2,FALSE)</f>
        <v>Onderscheid draagconstructie en installaties (gebruiksdynamiek)</v>
      </c>
      <c r="D81" s="119"/>
      <c r="E81" s="119"/>
      <c r="F81" s="120">
        <f t="shared" ref="F81:F87" si="18">VLOOKUP(B81,$B$11:$J$26,9)</f>
        <v>1</v>
      </c>
      <c r="G81" s="121"/>
      <c r="H81" s="122"/>
      <c r="I81" s="123">
        <f>IF($O$20=1,1/(6*1+2*0.25),1/(6*1+0*0.25))</f>
        <v>0.16666666666666666</v>
      </c>
      <c r="J81" s="163">
        <f t="shared" ref="J81:J89" si="19">F81*$G$66*$H$80*I81</f>
        <v>3.4999999999999996E-2</v>
      </c>
      <c r="L81" s="222"/>
    </row>
    <row r="82" spans="1:23" ht="15.75" customHeight="1" x14ac:dyDescent="0.25">
      <c r="B82" s="207" t="str">
        <f>'Indicatoren,16-12-21'!B6</f>
        <v>D02a</v>
      </c>
      <c r="C82" s="119" t="str">
        <f t="shared" si="17"/>
        <v>Overmaat gebouwoppervlak</v>
      </c>
      <c r="D82" s="124"/>
      <c r="E82" s="124"/>
      <c r="F82" s="120">
        <f t="shared" si="18"/>
        <v>1</v>
      </c>
      <c r="G82" s="125"/>
      <c r="H82" s="126"/>
      <c r="I82" s="127">
        <f>IF($O$20=1,1/2/(6*1+2*0.25),1/2/(6*1+0*0.25))</f>
        <v>8.3333333333333329E-2</v>
      </c>
      <c r="J82" s="164">
        <f t="shared" ref="J82" si="20">F82*$G$66*$H$80*I82</f>
        <v>1.7499999999999998E-2</v>
      </c>
      <c r="L82" s="222"/>
      <c r="M82" s="153"/>
    </row>
    <row r="83" spans="1:23" ht="15.75" customHeight="1" x14ac:dyDescent="0.25">
      <c r="B83" s="207" t="str">
        <f>'Indicatoren,16-12-21'!B7</f>
        <v>D02b</v>
      </c>
      <c r="C83" s="119" t="str">
        <f t="shared" si="17"/>
        <v>Overmaat woning</v>
      </c>
      <c r="D83" s="124"/>
      <c r="E83" s="124"/>
      <c r="F83" s="120">
        <f t="shared" si="18"/>
        <v>1</v>
      </c>
      <c r="G83" s="125"/>
      <c r="H83" s="126"/>
      <c r="I83" s="127">
        <f>IF($O$20=1,1/2/(6*1+2*0.25),1/2/(6*1+0*0.25))</f>
        <v>8.3333333333333329E-2</v>
      </c>
      <c r="J83" s="164">
        <f>F83*$G$66*$H$80*I83</f>
        <v>1.7499999999999998E-2</v>
      </c>
      <c r="L83" s="222"/>
      <c r="M83" s="153"/>
    </row>
    <row r="84" spans="1:23" ht="15.75" customHeight="1" x14ac:dyDescent="0.25">
      <c r="B84" s="207" t="str">
        <f>'Indicatoren,16-12-21'!B8</f>
        <v>D03</v>
      </c>
      <c r="C84" s="119" t="str">
        <f t="shared" si="17"/>
        <v>Vrije verdiepingshoogte</v>
      </c>
      <c r="D84" s="124"/>
      <c r="E84" s="124"/>
      <c r="F84" s="120">
        <f t="shared" si="18"/>
        <v>1</v>
      </c>
      <c r="G84" s="125"/>
      <c r="H84" s="126"/>
      <c r="I84" s="123">
        <f t="shared" ref="I84:I87" si="21">IF($O$20=1,1/(6*1+2*0.25),1/(6*1+0*0.25))</f>
        <v>0.16666666666666666</v>
      </c>
      <c r="J84" s="164">
        <f>F84*$G$66*$H$80*I84</f>
        <v>3.4999999999999996E-2</v>
      </c>
      <c r="L84" s="222"/>
      <c r="M84" s="153"/>
    </row>
    <row r="85" spans="1:23" ht="15.75" customHeight="1" x14ac:dyDescent="0.25">
      <c r="B85" s="207" t="str">
        <f>'Indicatoren,16-12-21'!B11</f>
        <v>D06</v>
      </c>
      <c r="C85" s="119" t="str">
        <f t="shared" si="17"/>
        <v xml:space="preserve">Instelbaarheid van installaties
</v>
      </c>
      <c r="D85" s="124"/>
      <c r="E85" s="124"/>
      <c r="F85" s="120">
        <f t="shared" si="18"/>
        <v>1</v>
      </c>
      <c r="G85" s="125"/>
      <c r="H85" s="126"/>
      <c r="I85" s="123">
        <f t="shared" si="21"/>
        <v>0.16666666666666666</v>
      </c>
      <c r="J85" s="164">
        <f t="shared" si="19"/>
        <v>3.4999999999999996E-2</v>
      </c>
      <c r="L85" s="222"/>
      <c r="M85" s="153"/>
    </row>
    <row r="86" spans="1:23" ht="15.75" customHeight="1" x14ac:dyDescent="0.25">
      <c r="B86" s="207" t="str">
        <f>'Indicatoren,16-12-21'!B12</f>
        <v>D07</v>
      </c>
      <c r="C86" s="119" t="str">
        <f t="shared" si="17"/>
        <v xml:space="preserve">Verplaatsbare binnenwanden
</v>
      </c>
      <c r="D86" s="124"/>
      <c r="E86" s="124"/>
      <c r="F86" s="120">
        <f t="shared" si="18"/>
        <v>1</v>
      </c>
      <c r="G86" s="125"/>
      <c r="H86" s="126"/>
      <c r="I86" s="123">
        <f t="shared" si="21"/>
        <v>0.16666666666666666</v>
      </c>
      <c r="J86" s="164">
        <f t="shared" si="19"/>
        <v>3.4999999999999996E-2</v>
      </c>
      <c r="L86" s="222"/>
      <c r="M86" s="153"/>
    </row>
    <row r="87" spans="1:23" ht="15.75" customHeight="1" x14ac:dyDescent="0.25">
      <c r="B87" s="207" t="str">
        <f>'Indicatoren,16-12-21'!B13</f>
        <v>D08</v>
      </c>
      <c r="C87" s="119" t="str">
        <f t="shared" si="17"/>
        <v xml:space="preserve">Ontkoppelbaarheid en bereikbaarheid installatiecomponenten
</v>
      </c>
      <c r="D87" s="124"/>
      <c r="E87" s="124"/>
      <c r="F87" s="120">
        <f t="shared" si="18"/>
        <v>1</v>
      </c>
      <c r="G87" s="125"/>
      <c r="H87" s="126"/>
      <c r="I87" s="123">
        <f t="shared" si="21"/>
        <v>0.16666666666666666</v>
      </c>
      <c r="J87" s="164">
        <f>F87*$G$66*$H$80*I87</f>
        <v>3.4999999999999996E-2</v>
      </c>
      <c r="L87" s="222"/>
      <c r="M87" s="153"/>
    </row>
    <row r="88" spans="1:23" ht="15.75" customHeight="1" collapsed="1" x14ac:dyDescent="0.25">
      <c r="B88" s="207" t="str">
        <f>'Indicatoren,16-12-21'!B21</f>
        <v>A02</v>
      </c>
      <c r="C88" s="133" t="str">
        <f t="shared" ref="C88:C89" si="22">VLOOKUP(B88,$B$29:$C$36,2,FALSE)</f>
        <v>Utilitaire functie: mogelijkheid tot verdeling van de oppervlakte in units van de genoemde grootte.</v>
      </c>
      <c r="D88" s="124"/>
      <c r="E88" s="124"/>
      <c r="F88" s="129">
        <f t="shared" ref="F88:F89" si="23">VLOOKUP(B88,$B$29:$J$36,9)</f>
        <v>0</v>
      </c>
      <c r="G88" s="125"/>
      <c r="H88" s="126"/>
      <c r="I88" s="127">
        <f>IF($O$20=1,0.25/(6*1+2*0.25),0)</f>
        <v>0</v>
      </c>
      <c r="J88" s="164">
        <f t="shared" si="19"/>
        <v>0</v>
      </c>
      <c r="L88" s="222"/>
      <c r="M88" s="153"/>
    </row>
    <row r="89" spans="1:23" ht="15.75" customHeight="1" x14ac:dyDescent="0.3">
      <c r="B89" s="208" t="str">
        <f>'Indicatoren,16-12-21'!B22</f>
        <v>A03</v>
      </c>
      <c r="C89" s="133" t="str">
        <f t="shared" si="22"/>
        <v>Utilitaire functie: zelfstandigheid voorzieningen gebruiksunit.</v>
      </c>
      <c r="D89" s="133"/>
      <c r="E89" s="128"/>
      <c r="F89" s="129">
        <f t="shared" si="23"/>
        <v>0</v>
      </c>
      <c r="G89" s="134"/>
      <c r="H89" s="135"/>
      <c r="I89" s="127">
        <f>IF($O$20=1,0.25/(6*1+2*0.25),0)</f>
        <v>0</v>
      </c>
      <c r="J89" s="165">
        <f t="shared" si="19"/>
        <v>0</v>
      </c>
      <c r="L89" s="222"/>
      <c r="M89" s="159"/>
    </row>
    <row r="90" spans="1:23" s="7" customFormat="1" ht="15.75" customHeight="1" x14ac:dyDescent="0.25">
      <c r="B90" s="204"/>
      <c r="C90" s="110" t="s">
        <v>63</v>
      </c>
      <c r="D90" s="111"/>
      <c r="E90" s="111"/>
      <c r="F90" s="112"/>
      <c r="G90" s="113">
        <f>'Weegfactoren,14-06-21'!AD12</f>
        <v>0.4</v>
      </c>
      <c r="H90" s="36"/>
      <c r="I90" s="114"/>
      <c r="J90" s="161">
        <f>J101+J91</f>
        <v>0.4</v>
      </c>
      <c r="K90" s="213"/>
      <c r="L90" s="222"/>
      <c r="M90" s="152"/>
      <c r="N90" s="212"/>
      <c r="O90" s="212"/>
      <c r="P90" s="213"/>
      <c r="Q90" s="213"/>
      <c r="R90" s="180"/>
      <c r="S90" s="180"/>
      <c r="T90" s="180"/>
      <c r="U90" s="180"/>
      <c r="V90" s="180"/>
      <c r="W90" s="180"/>
    </row>
    <row r="91" spans="1:23" ht="15.75" customHeight="1" x14ac:dyDescent="0.25">
      <c r="B91" s="205"/>
      <c r="C91" s="115" t="s">
        <v>64</v>
      </c>
      <c r="D91" s="115"/>
      <c r="E91" s="115"/>
      <c r="F91" s="116"/>
      <c r="G91" s="117"/>
      <c r="H91" s="38">
        <f>'Weegfactoren,14-06-21'!AD13</f>
        <v>0.5</v>
      </c>
      <c r="I91" s="118"/>
      <c r="J91" s="162">
        <f>SUM(J92:J100)</f>
        <v>0.2</v>
      </c>
      <c r="L91" s="222">
        <f>SUM(I92:I100)</f>
        <v>0.99999999999999978</v>
      </c>
      <c r="M91" s="153"/>
    </row>
    <row r="92" spans="1:23" ht="15.75" customHeight="1" x14ac:dyDescent="0.25">
      <c r="B92" s="206" t="str">
        <f>'Indicatoren,16-12-21'!B4</f>
        <v>D01a</v>
      </c>
      <c r="C92" s="119" t="str">
        <f t="shared" ref="C92:C99" si="24">VLOOKUP(B92,$B$11:$C$26,2,FALSE)</f>
        <v>Onderscheid draagconstructie en installaties (gebruiksdynamiek)</v>
      </c>
      <c r="D92" s="119"/>
      <c r="E92" s="119"/>
      <c r="F92" s="120">
        <f t="shared" ref="F92:F99" si="25">VLOOKUP(B92,$B$11:$J$26,9)</f>
        <v>1</v>
      </c>
      <c r="G92" s="121"/>
      <c r="H92" s="122"/>
      <c r="I92" s="123">
        <f>IF($O$20=1,1/(7*1+1*0.25),1/(7*1+0*0.25))</f>
        <v>0.14285714285714285</v>
      </c>
      <c r="J92" s="163">
        <f>F92*$G$90*$H$91*I92</f>
        <v>2.8571428571428571E-2</v>
      </c>
      <c r="L92" s="222"/>
      <c r="M92" s="153"/>
      <c r="N92" s="213"/>
      <c r="O92" s="213"/>
    </row>
    <row r="93" spans="1:23" ht="15.75" customHeight="1" x14ac:dyDescent="0.25">
      <c r="B93" s="207" t="str">
        <f>'Indicatoren,16-12-21'!B6</f>
        <v>D02a</v>
      </c>
      <c r="C93" s="119" t="str">
        <f t="shared" si="24"/>
        <v>Overmaat gebouwoppervlak</v>
      </c>
      <c r="D93" s="124"/>
      <c r="E93" s="124"/>
      <c r="F93" s="120">
        <f t="shared" si="25"/>
        <v>1</v>
      </c>
      <c r="G93" s="125"/>
      <c r="H93" s="126"/>
      <c r="I93" s="123">
        <f>IF($O$20=1,1/2/(7*1+1*0.25),1/2/(7*1+0*0.25))</f>
        <v>7.1428571428571425E-2</v>
      </c>
      <c r="J93" s="163">
        <f t="shared" ref="J93" si="26">F93*$G$90*$H$91*I93</f>
        <v>1.4285714285714285E-2</v>
      </c>
      <c r="L93" s="222"/>
      <c r="M93" s="153"/>
    </row>
    <row r="94" spans="1:23" ht="15.75" customHeight="1" x14ac:dyDescent="0.25">
      <c r="B94" s="207" t="str">
        <f>'Indicatoren,16-12-21'!B7</f>
        <v>D02b</v>
      </c>
      <c r="C94" s="119" t="str">
        <f t="shared" si="24"/>
        <v>Overmaat woning</v>
      </c>
      <c r="D94" s="124"/>
      <c r="E94" s="124"/>
      <c r="F94" s="120">
        <f t="shared" si="25"/>
        <v>1</v>
      </c>
      <c r="G94" s="125"/>
      <c r="H94" s="126"/>
      <c r="I94" s="123">
        <f>IF($O$20=1,1/2/(7*1+1*0.25),1/2/(7*1+0*0.25))</f>
        <v>7.1428571428571425E-2</v>
      </c>
      <c r="J94" s="163">
        <f>F94*$G$90*$H$91*I94</f>
        <v>1.4285714285714285E-2</v>
      </c>
      <c r="L94" s="222"/>
      <c r="M94" s="153"/>
    </row>
    <row r="95" spans="1:23" ht="15.75" customHeight="1" x14ac:dyDescent="0.25">
      <c r="B95" s="207" t="str">
        <f>'Indicatoren,16-12-21'!B8</f>
        <v>D03</v>
      </c>
      <c r="C95" s="119" t="str">
        <f t="shared" si="24"/>
        <v>Vrije verdiepingshoogte</v>
      </c>
      <c r="D95" s="124"/>
      <c r="E95" s="124"/>
      <c r="F95" s="120">
        <f t="shared" si="25"/>
        <v>1</v>
      </c>
      <c r="G95" s="125"/>
      <c r="H95" s="126"/>
      <c r="I95" s="123">
        <f t="shared" ref="I95:I99" si="27">IF($O$20=1,1/(7*1+1*0.25),1/(7*1+0*0.25))</f>
        <v>0.14285714285714285</v>
      </c>
      <c r="J95" s="163">
        <f>F95*$G$90*$H$91*I95</f>
        <v>2.8571428571428571E-2</v>
      </c>
      <c r="L95" s="222"/>
      <c r="N95" s="213"/>
      <c r="O95" s="213"/>
    </row>
    <row r="96" spans="1:23" ht="15.75" customHeight="1" x14ac:dyDescent="0.25">
      <c r="B96" s="207" t="str">
        <f>'Indicatoren,16-12-21'!B11</f>
        <v>D06</v>
      </c>
      <c r="C96" s="119" t="str">
        <f t="shared" si="24"/>
        <v xml:space="preserve">Instelbaarheid van installaties
</v>
      </c>
      <c r="D96" s="124"/>
      <c r="E96" s="124"/>
      <c r="F96" s="120">
        <f t="shared" si="25"/>
        <v>1</v>
      </c>
      <c r="G96" s="125"/>
      <c r="H96" s="126"/>
      <c r="I96" s="123">
        <f t="shared" si="27"/>
        <v>0.14285714285714285</v>
      </c>
      <c r="J96" s="163">
        <f t="shared" ref="J96:J100" si="28">F96*$G$90*$H$91*I96</f>
        <v>2.8571428571428571E-2</v>
      </c>
      <c r="L96" s="222"/>
      <c r="M96" s="153"/>
      <c r="N96" s="213"/>
      <c r="O96" s="213"/>
    </row>
    <row r="97" spans="2:23" ht="15.75" customHeight="1" x14ac:dyDescent="0.25">
      <c r="B97" s="207" t="str">
        <f>'Indicatoren,16-12-21'!B13</f>
        <v>D08</v>
      </c>
      <c r="C97" s="119" t="str">
        <f t="shared" si="24"/>
        <v xml:space="preserve">Ontkoppelbaarheid en bereikbaarheid installatiecomponenten
</v>
      </c>
      <c r="D97" s="124"/>
      <c r="E97" s="124"/>
      <c r="F97" s="120">
        <f t="shared" si="25"/>
        <v>1</v>
      </c>
      <c r="G97" s="125"/>
      <c r="H97" s="126"/>
      <c r="I97" s="123">
        <f t="shared" si="27"/>
        <v>0.14285714285714285</v>
      </c>
      <c r="J97" s="163">
        <f>F97*$G$90*$H$91*I97</f>
        <v>2.8571428571428571E-2</v>
      </c>
      <c r="L97" s="222"/>
      <c r="M97" s="153"/>
      <c r="N97" s="213"/>
      <c r="O97" s="213"/>
    </row>
    <row r="98" spans="2:23" ht="15.75" customHeight="1" x14ac:dyDescent="0.25">
      <c r="B98" s="207" t="str">
        <f>'Indicatoren,16-12-21'!B17</f>
        <v>D12</v>
      </c>
      <c r="C98" s="119" t="str">
        <f t="shared" si="24"/>
        <v xml:space="preserve">Multifunctioneel gebruik gebouw of woning/unit in de tijd
</v>
      </c>
      <c r="D98" s="124"/>
      <c r="E98" s="124"/>
      <c r="F98" s="120">
        <f t="shared" si="25"/>
        <v>1</v>
      </c>
      <c r="G98" s="125"/>
      <c r="H98" s="126"/>
      <c r="I98" s="123">
        <f t="shared" si="27"/>
        <v>0.14285714285714285</v>
      </c>
      <c r="J98" s="163">
        <f t="shared" si="28"/>
        <v>2.8571428571428571E-2</v>
      </c>
      <c r="L98" s="222"/>
      <c r="M98" s="153"/>
      <c r="N98" s="213"/>
      <c r="O98" s="213"/>
    </row>
    <row r="99" spans="2:23" ht="15.75" customHeight="1" collapsed="1" x14ac:dyDescent="0.25">
      <c r="B99" s="207" t="str">
        <f>'Indicatoren,16-12-21'!B18</f>
        <v>D13</v>
      </c>
      <c r="C99" s="119" t="str">
        <f t="shared" si="24"/>
        <v>Dragende vloeren</v>
      </c>
      <c r="D99" s="138"/>
      <c r="E99" s="124"/>
      <c r="F99" s="120">
        <f t="shared" si="25"/>
        <v>1</v>
      </c>
      <c r="G99" s="142"/>
      <c r="H99" s="143"/>
      <c r="I99" s="123">
        <f t="shared" si="27"/>
        <v>0.14285714285714285</v>
      </c>
      <c r="J99" s="163">
        <f t="shared" si="28"/>
        <v>2.8571428571428571E-2</v>
      </c>
      <c r="L99" s="222"/>
      <c r="M99" s="153"/>
    </row>
    <row r="100" spans="2:23" s="7" customFormat="1" ht="15.75" customHeight="1" x14ac:dyDescent="0.25">
      <c r="B100" s="208" t="str">
        <f>'Indicatoren,16-12-21'!B22</f>
        <v>A03</v>
      </c>
      <c r="C100" s="138" t="str">
        <f t="shared" ref="C100" si="29">VLOOKUP(B100,$B$29:$C$36,2,FALSE)</f>
        <v>Utilitaire functie: zelfstandigheid voorzieningen gebruiksunit.</v>
      </c>
      <c r="D100" s="133"/>
      <c r="E100" s="128"/>
      <c r="F100" s="129">
        <f>VLOOKUP(B100,$B$29:$J$36,9)</f>
        <v>0</v>
      </c>
      <c r="G100" s="134"/>
      <c r="H100" s="135"/>
      <c r="I100" s="132">
        <f>IF($O$20=1,0.25/(7*1+1*0.25),0)</f>
        <v>0</v>
      </c>
      <c r="J100" s="163">
        <f t="shared" si="28"/>
        <v>0</v>
      </c>
      <c r="K100" s="213"/>
      <c r="L100" s="222"/>
      <c r="M100" s="152"/>
      <c r="N100" s="212"/>
      <c r="O100" s="212"/>
      <c r="P100" s="213"/>
      <c r="Q100" s="213"/>
      <c r="R100" s="180"/>
      <c r="S100" s="180"/>
      <c r="T100" s="180"/>
      <c r="U100" s="180"/>
      <c r="V100" s="180"/>
      <c r="W100" s="180"/>
    </row>
    <row r="101" spans="2:23" ht="15.75" customHeight="1" x14ac:dyDescent="0.25">
      <c r="B101" s="205"/>
      <c r="C101" s="115" t="s">
        <v>65</v>
      </c>
      <c r="D101" s="115"/>
      <c r="E101" s="115"/>
      <c r="F101" s="116"/>
      <c r="G101" s="117"/>
      <c r="H101" s="38">
        <f>'Weegfactoren,14-06-21'!AD14</f>
        <v>0.5</v>
      </c>
      <c r="I101" s="118"/>
      <c r="J101" s="162">
        <f>SUM(J102:J111)</f>
        <v>0.19999999999999998</v>
      </c>
      <c r="L101" s="222"/>
      <c r="M101" s="153"/>
    </row>
    <row r="102" spans="2:23" ht="15.75" customHeight="1" x14ac:dyDescent="0.25">
      <c r="B102" s="206" t="str">
        <f>'Indicatoren,16-12-21'!B4</f>
        <v>D01a</v>
      </c>
      <c r="C102" s="119" t="str">
        <f t="shared" ref="C102:C108" si="30">VLOOKUP(B102,$B$11:$C$26,2,FALSE)</f>
        <v>Onderscheid draagconstructie en installaties (gebruiksdynamiek)</v>
      </c>
      <c r="D102" s="119"/>
      <c r="E102" s="119"/>
      <c r="F102" s="120">
        <f t="shared" ref="F102:F108" si="31">VLOOKUP(B102,$B$11:$J$26,9)</f>
        <v>1</v>
      </c>
      <c r="G102" s="121"/>
      <c r="H102" s="122"/>
      <c r="I102" s="123">
        <f>IF($O$20=1,1/(6*1+3*0.25),1/(6*1+0*0.25))</f>
        <v>0.16666666666666666</v>
      </c>
      <c r="J102" s="163">
        <f>F102*$G$90*$H$101*I102</f>
        <v>3.3333333333333333E-2</v>
      </c>
      <c r="L102" s="222">
        <f>SUM(I102:I111)</f>
        <v>0.99999999999999989</v>
      </c>
      <c r="M102" s="153"/>
    </row>
    <row r="103" spans="2:23" ht="15.75" customHeight="1" x14ac:dyDescent="0.25">
      <c r="B103" s="207" t="str">
        <f>'Indicatoren,16-12-21'!B6</f>
        <v>D02a</v>
      </c>
      <c r="C103" s="119" t="str">
        <f t="shared" si="30"/>
        <v>Overmaat gebouwoppervlak</v>
      </c>
      <c r="D103" s="124"/>
      <c r="E103" s="124"/>
      <c r="F103" s="120">
        <f t="shared" si="31"/>
        <v>1</v>
      </c>
      <c r="G103" s="125"/>
      <c r="H103" s="126"/>
      <c r="I103" s="123">
        <f>IF($O$20=1,1/2/(6*1+3*0.25),1/2/(6*1+0*0.25))</f>
        <v>8.3333333333333329E-2</v>
      </c>
      <c r="J103" s="163">
        <f t="shared" ref="J103" si="32">F103*$G$90*$H$101*I103</f>
        <v>1.6666666666666666E-2</v>
      </c>
      <c r="L103" s="222"/>
    </row>
    <row r="104" spans="2:23" ht="15.75" customHeight="1" x14ac:dyDescent="0.25">
      <c r="B104" s="207" t="str">
        <f>'Indicatoren,16-12-21'!B7</f>
        <v>D02b</v>
      </c>
      <c r="C104" s="119" t="str">
        <f t="shared" si="30"/>
        <v>Overmaat woning</v>
      </c>
      <c r="D104" s="124"/>
      <c r="E104" s="124"/>
      <c r="F104" s="120">
        <f t="shared" si="31"/>
        <v>1</v>
      </c>
      <c r="G104" s="125"/>
      <c r="H104" s="126"/>
      <c r="I104" s="123">
        <f>IF($O$20=1,1/2/(6*1+3*0.25),1/2/(6*1+0*0.25))</f>
        <v>8.3333333333333329E-2</v>
      </c>
      <c r="J104" s="163">
        <f>F104*$G$90*$H$101*I104</f>
        <v>1.6666666666666666E-2</v>
      </c>
      <c r="L104" s="222"/>
    </row>
    <row r="105" spans="2:23" ht="15.75" customHeight="1" x14ac:dyDescent="0.25">
      <c r="B105" s="207" t="str">
        <f>'Indicatoren,16-12-21'!B8</f>
        <v>D03</v>
      </c>
      <c r="C105" s="119" t="str">
        <f t="shared" si="30"/>
        <v>Vrije verdiepingshoogte</v>
      </c>
      <c r="D105" s="124"/>
      <c r="E105" s="124"/>
      <c r="F105" s="120">
        <f t="shared" si="31"/>
        <v>1</v>
      </c>
      <c r="G105" s="125"/>
      <c r="H105" s="126"/>
      <c r="I105" s="123">
        <f t="shared" ref="I105:I108" si="33">IF($O$20=1,1/(6*1+3*0.25),1/(6*1+0*0.25))</f>
        <v>0.16666666666666666</v>
      </c>
      <c r="J105" s="163">
        <f t="shared" ref="J105:J111" si="34">F105*$G$90*$H$101*I105</f>
        <v>3.3333333333333333E-2</v>
      </c>
      <c r="L105" s="222"/>
    </row>
    <row r="106" spans="2:23" ht="15.75" customHeight="1" x14ac:dyDescent="0.25">
      <c r="B106" s="207" t="str">
        <f>'Indicatoren,16-12-21'!B12</f>
        <v>D07</v>
      </c>
      <c r="C106" s="119" t="str">
        <f t="shared" si="30"/>
        <v xml:space="preserve">Verplaatsbare binnenwanden
</v>
      </c>
      <c r="D106" s="124"/>
      <c r="E106" s="124"/>
      <c r="F106" s="120">
        <f t="shared" si="31"/>
        <v>1</v>
      </c>
      <c r="G106" s="125"/>
      <c r="H106" s="126"/>
      <c r="I106" s="123">
        <f t="shared" si="33"/>
        <v>0.16666666666666666</v>
      </c>
      <c r="J106" s="163">
        <f t="shared" si="34"/>
        <v>3.3333333333333333E-2</v>
      </c>
      <c r="L106" s="222"/>
    </row>
    <row r="107" spans="2:23" ht="15.75" customHeight="1" x14ac:dyDescent="0.25">
      <c r="B107" s="207" t="str">
        <f>'Indicatoren,16-12-21'!B15</f>
        <v>D10</v>
      </c>
      <c r="C107" s="119" t="str">
        <f t="shared" si="30"/>
        <v xml:space="preserve">Daglichttoetreding
</v>
      </c>
      <c r="D107" s="124"/>
      <c r="E107" s="124"/>
      <c r="F107" s="120">
        <f t="shared" si="31"/>
        <v>1</v>
      </c>
      <c r="G107" s="125"/>
      <c r="H107" s="126"/>
      <c r="I107" s="123">
        <f t="shared" si="33"/>
        <v>0.16666666666666666</v>
      </c>
      <c r="J107" s="163">
        <f>F107*$G$90*$H$101*I107</f>
        <v>3.3333333333333333E-2</v>
      </c>
      <c r="L107" s="222"/>
    </row>
    <row r="108" spans="2:23" ht="15.75" customHeight="1" x14ac:dyDescent="0.25">
      <c r="B108" s="207" t="str">
        <f>'Indicatoren,16-12-21'!B18</f>
        <v>D13</v>
      </c>
      <c r="C108" s="119" t="str">
        <f t="shared" si="30"/>
        <v>Dragende vloeren</v>
      </c>
      <c r="D108" s="124"/>
      <c r="E108" s="124"/>
      <c r="F108" s="120">
        <f t="shared" si="31"/>
        <v>1</v>
      </c>
      <c r="G108" s="125"/>
      <c r="H108" s="126"/>
      <c r="I108" s="123">
        <f t="shared" si="33"/>
        <v>0.16666666666666666</v>
      </c>
      <c r="J108" s="163">
        <f t="shared" si="34"/>
        <v>3.3333333333333333E-2</v>
      </c>
      <c r="L108" s="222"/>
      <c r="M108" s="153"/>
    </row>
    <row r="109" spans="2:23" ht="15.75" customHeight="1" x14ac:dyDescent="0.25">
      <c r="B109" s="207" t="str">
        <f>'Indicatoren,16-12-21'!B21</f>
        <v>A02</v>
      </c>
      <c r="C109" s="138" t="str">
        <f t="shared" ref="C109:C111" si="35">VLOOKUP(B109,$B$29:$C$36,2,FALSE)</f>
        <v>Utilitaire functie: mogelijkheid tot verdeling van de oppervlakte in units van de genoemde grootte.</v>
      </c>
      <c r="D109" s="124"/>
      <c r="E109" s="124"/>
      <c r="F109" s="129">
        <f t="shared" ref="F109:F111" si="36">VLOOKUP(B109,$B$29:$J$36,9)</f>
        <v>0</v>
      </c>
      <c r="G109" s="125"/>
      <c r="H109" s="126"/>
      <c r="I109" s="123">
        <f>IF($O$20=1,0.25/(6*1+3*0.25),0)</f>
        <v>0</v>
      </c>
      <c r="J109" s="163">
        <f t="shared" si="34"/>
        <v>0</v>
      </c>
      <c r="L109" s="222"/>
      <c r="M109" s="153"/>
    </row>
    <row r="110" spans="2:23" ht="15.75" customHeight="1" collapsed="1" x14ac:dyDescent="0.25">
      <c r="B110" s="207" t="str">
        <f>'Indicatoren,16-12-21'!B22</f>
        <v>A03</v>
      </c>
      <c r="C110" s="138" t="str">
        <f t="shared" si="35"/>
        <v>Utilitaire functie: zelfstandigheid voorzieningen gebruiksunit.</v>
      </c>
      <c r="D110" s="124"/>
      <c r="E110" s="124"/>
      <c r="F110" s="129">
        <f t="shared" si="36"/>
        <v>0</v>
      </c>
      <c r="G110" s="125"/>
      <c r="H110" s="126"/>
      <c r="I110" s="123">
        <f>IF($O$20=1,0.25/(6*1+3*0.25),0)</f>
        <v>0</v>
      </c>
      <c r="J110" s="163">
        <f t="shared" si="34"/>
        <v>0</v>
      </c>
      <c r="L110" s="222"/>
      <c r="M110" s="153"/>
      <c r="N110" s="213"/>
      <c r="O110" s="213"/>
    </row>
    <row r="111" spans="2:23" ht="15.75" customHeight="1" x14ac:dyDescent="0.25">
      <c r="B111" s="208" t="str">
        <f>'Indicatoren,16-12-21'!B23</f>
        <v>A04</v>
      </c>
      <c r="C111" s="133" t="str">
        <f t="shared" si="35"/>
        <v>Utilitaire functie: te openen ramen.</v>
      </c>
      <c r="D111" s="133"/>
      <c r="E111" s="128"/>
      <c r="F111" s="129">
        <f t="shared" si="36"/>
        <v>0</v>
      </c>
      <c r="G111" s="134"/>
      <c r="H111" s="135"/>
      <c r="I111" s="144">
        <f>IF($O$20=1,0.25/(6*1+3*0.25),0)</f>
        <v>0</v>
      </c>
      <c r="J111" s="166">
        <f t="shared" si="34"/>
        <v>0</v>
      </c>
      <c r="L111" s="222"/>
    </row>
    <row r="112" spans="2:23" ht="15.75" customHeight="1" x14ac:dyDescent="0.25">
      <c r="B112" s="202"/>
      <c r="C112" s="102" t="s">
        <v>51</v>
      </c>
      <c r="D112" s="103"/>
      <c r="E112" s="103"/>
      <c r="F112" s="104"/>
      <c r="G112" s="329" t="s">
        <v>52</v>
      </c>
      <c r="H112" s="330"/>
      <c r="I112" s="330"/>
      <c r="J112" s="105" t="s">
        <v>46</v>
      </c>
      <c r="L112" s="222"/>
    </row>
    <row r="113" spans="2:15" ht="15.75" customHeight="1" x14ac:dyDescent="0.3">
      <c r="B113" s="203"/>
      <c r="C113" s="103"/>
      <c r="D113" s="103"/>
      <c r="E113" s="103"/>
      <c r="F113" s="104" t="s">
        <v>16</v>
      </c>
      <c r="G113" s="106" t="s">
        <v>53</v>
      </c>
      <c r="H113" s="107" t="s">
        <v>54</v>
      </c>
      <c r="I113" s="108" t="s">
        <v>55</v>
      </c>
      <c r="J113" s="109">
        <f>IF(F27="x",0,J114+J137+J162)</f>
        <v>0.98499999999999988</v>
      </c>
      <c r="L113" s="222"/>
      <c r="M113" s="159"/>
    </row>
    <row r="114" spans="2:15" ht="15.75" customHeight="1" x14ac:dyDescent="0.25">
      <c r="B114" s="204"/>
      <c r="C114" s="110" t="s">
        <v>56</v>
      </c>
      <c r="D114" s="111"/>
      <c r="E114" s="111"/>
      <c r="F114" s="112"/>
      <c r="G114" s="113">
        <f>'Weegfactoren,14-06-21'!AD16</f>
        <v>0.3</v>
      </c>
      <c r="H114" s="36"/>
      <c r="I114" s="114"/>
      <c r="J114" s="161">
        <f>J115+J123+J132</f>
        <v>0.28499999999999992</v>
      </c>
      <c r="L114" s="222"/>
    </row>
    <row r="115" spans="2:15" ht="15.75" customHeight="1" x14ac:dyDescent="0.25">
      <c r="B115" s="205"/>
      <c r="C115" s="115" t="s">
        <v>57</v>
      </c>
      <c r="D115" s="115"/>
      <c r="E115" s="115"/>
      <c r="F115" s="116"/>
      <c r="G115" s="117"/>
      <c r="H115" s="38">
        <f>'Weegfactoren,14-06-21'!AD17</f>
        <v>0.4</v>
      </c>
      <c r="I115" s="118"/>
      <c r="J115" s="162">
        <f>SUM(J116:J122)</f>
        <v>0.11999999999999998</v>
      </c>
      <c r="L115" s="222">
        <f>SUM(I116:I122)</f>
        <v>1</v>
      </c>
    </row>
    <row r="116" spans="2:15" ht="15.75" customHeight="1" x14ac:dyDescent="0.25">
      <c r="B116" s="206" t="str">
        <f>'Indicatoren,16-12-21'!B9</f>
        <v>D04</v>
      </c>
      <c r="C116" s="119" t="str">
        <f>VLOOKUP(B116,$B$11:$C$26,2,FALSE)</f>
        <v>Overdimensionering bouwkundige ruimte/reservering voor E&amp;W- installaties en schachten</v>
      </c>
      <c r="D116" s="119"/>
      <c r="E116" s="119"/>
      <c r="F116" s="120">
        <f>VLOOKUP(B116,$B$11:$J$26,9)</f>
        <v>1</v>
      </c>
      <c r="G116" s="121"/>
      <c r="H116" s="122"/>
      <c r="I116" s="123">
        <f>IF($O$20=1,1/(3*1+4*0.25),1/(3*1+0*0.25))</f>
        <v>0.33333333333333331</v>
      </c>
      <c r="J116" s="163">
        <f>F116*$G$114*$H$115*I116</f>
        <v>3.9999999999999994E-2</v>
      </c>
      <c r="L116" s="222"/>
    </row>
    <row r="117" spans="2:15" ht="15.75" customHeight="1" x14ac:dyDescent="0.25">
      <c r="B117" s="207" t="str">
        <f>'Indicatoren,16-12-21'!B10</f>
        <v>D05</v>
      </c>
      <c r="C117" s="119" t="str">
        <f>VLOOKUP(B117,$B$11:$C$26,2,FALSE)</f>
        <v xml:space="preserve">Uitbreidbaar gebouw of woning/unit, horizontaal en/of vertikaal
</v>
      </c>
      <c r="D117" s="124"/>
      <c r="E117" s="124"/>
      <c r="F117" s="120">
        <f>VLOOKUP(B117,$B$11:$J$26,9)</f>
        <v>1</v>
      </c>
      <c r="G117" s="125"/>
      <c r="H117" s="126"/>
      <c r="I117" s="123">
        <f t="shared" ref="I117:I118" si="37">IF($O$20=1,1/(3*1+4*0.25),1/(3*1+0*0.25))</f>
        <v>0.33333333333333331</v>
      </c>
      <c r="J117" s="163">
        <f t="shared" ref="J117:J121" si="38">F117*$G$114*$H$115*I117</f>
        <v>3.9999999999999994E-2</v>
      </c>
      <c r="L117" s="222"/>
    </row>
    <row r="118" spans="2:15" ht="15.75" customHeight="1" x14ac:dyDescent="0.25">
      <c r="B118" s="207" t="str">
        <f>'Indicatoren,16-12-21'!B11</f>
        <v>D06</v>
      </c>
      <c r="C118" s="119" t="str">
        <f>VLOOKUP(B118,$B$11:$C$26,2,FALSE)</f>
        <v xml:space="preserve">Instelbaarheid van installaties
</v>
      </c>
      <c r="D118" s="124"/>
      <c r="E118" s="124"/>
      <c r="F118" s="120">
        <f>VLOOKUP(B118,$B$11:$J$26,9)</f>
        <v>1</v>
      </c>
      <c r="G118" s="125"/>
      <c r="H118" s="126"/>
      <c r="I118" s="123">
        <f t="shared" si="37"/>
        <v>0.33333333333333331</v>
      </c>
      <c r="J118" s="163">
        <f>F118*$G$114*$H$115*I118</f>
        <v>3.9999999999999994E-2</v>
      </c>
      <c r="L118" s="222"/>
    </row>
    <row r="119" spans="2:15" ht="15.75" customHeight="1" x14ac:dyDescent="0.25">
      <c r="B119" s="207" t="str">
        <f>'Indicatoren,16-12-21'!B21</f>
        <v>A02</v>
      </c>
      <c r="C119" s="138" t="str">
        <f t="shared" ref="C119:C122" si="39">VLOOKUP(B119,$B$29:$C$36,2,FALSE)</f>
        <v>Utilitaire functie: mogelijkheid tot verdeling van de oppervlakte in units van de genoemde grootte.</v>
      </c>
      <c r="D119" s="124"/>
      <c r="E119" s="124"/>
      <c r="F119" s="129">
        <f t="shared" ref="F119:F122" si="40">VLOOKUP(B119,$B$29:$J$36,9)</f>
        <v>0</v>
      </c>
      <c r="G119" s="125"/>
      <c r="H119" s="126"/>
      <c r="I119" s="123">
        <f>IF($O$20=1,0.25/(3*1+4*0.25),0)</f>
        <v>0</v>
      </c>
      <c r="J119" s="163">
        <f t="shared" si="38"/>
        <v>0</v>
      </c>
      <c r="L119" s="222"/>
    </row>
    <row r="120" spans="2:15" ht="15.75" customHeight="1" x14ac:dyDescent="0.25">
      <c r="B120" s="207" t="str">
        <f>'Indicatoren,16-12-21'!B24</f>
        <v>A05</v>
      </c>
      <c r="C120" s="138" t="str">
        <f t="shared" si="39"/>
        <v>Demontabele gevel</v>
      </c>
      <c r="D120" s="124"/>
      <c r="E120" s="124"/>
      <c r="F120" s="129">
        <f t="shared" si="40"/>
        <v>1</v>
      </c>
      <c r="G120" s="125"/>
      <c r="H120" s="126"/>
      <c r="I120" s="123">
        <f t="shared" ref="I120:I122" si="41">IF($O$20=1,0.25/(3*1+4*0.25),0)</f>
        <v>0</v>
      </c>
      <c r="J120" s="163">
        <f t="shared" si="38"/>
        <v>0</v>
      </c>
      <c r="L120" s="222"/>
    </row>
    <row r="121" spans="2:15" ht="15.75" customHeight="1" collapsed="1" x14ac:dyDescent="0.25">
      <c r="B121" s="207" t="str">
        <f>'Indicatoren,16-12-21'!B26</f>
        <v>A07</v>
      </c>
      <c r="C121" s="138" t="str">
        <f t="shared" si="39"/>
        <v>Mogelijkheid balkons aan gevel</v>
      </c>
      <c r="D121" s="124"/>
      <c r="E121" s="124"/>
      <c r="F121" s="129">
        <f t="shared" si="40"/>
        <v>1</v>
      </c>
      <c r="G121" s="125"/>
      <c r="H121" s="126"/>
      <c r="I121" s="123">
        <f t="shared" si="41"/>
        <v>0</v>
      </c>
      <c r="J121" s="163">
        <f t="shared" si="38"/>
        <v>0</v>
      </c>
      <c r="L121" s="222"/>
    </row>
    <row r="122" spans="2:15" ht="15.75" customHeight="1" x14ac:dyDescent="0.25">
      <c r="B122" s="208" t="str">
        <f>'Indicatoren,16-12-21'!B27</f>
        <v>A08</v>
      </c>
      <c r="C122" s="138" t="str">
        <f t="shared" si="39"/>
        <v>Verticale uitbreiding: ontsluiting</v>
      </c>
      <c r="D122" s="128"/>
      <c r="E122" s="128"/>
      <c r="F122" s="129">
        <f t="shared" si="40"/>
        <v>1</v>
      </c>
      <c r="G122" s="130"/>
      <c r="H122" s="131"/>
      <c r="I122" s="132">
        <f t="shared" si="41"/>
        <v>0</v>
      </c>
      <c r="J122" s="163">
        <f>F122*$G$114*$H$115*I122</f>
        <v>0</v>
      </c>
      <c r="L122" s="222"/>
      <c r="N122" s="213"/>
      <c r="O122" s="213"/>
    </row>
    <row r="123" spans="2:15" ht="15.75" customHeight="1" x14ac:dyDescent="0.25">
      <c r="B123" s="205"/>
      <c r="C123" s="115" t="s">
        <v>58</v>
      </c>
      <c r="D123" s="115"/>
      <c r="E123" s="115"/>
      <c r="F123" s="116"/>
      <c r="G123" s="117"/>
      <c r="H123" s="38">
        <f>'Weegfactoren,14-06-21'!AD18</f>
        <v>0.4</v>
      </c>
      <c r="I123" s="118"/>
      <c r="J123" s="162">
        <f>SUM(J124:J131)</f>
        <v>0.11999999999999997</v>
      </c>
      <c r="L123" s="222">
        <f>SUM(I124:I131)</f>
        <v>0.99999999999999989</v>
      </c>
    </row>
    <row r="124" spans="2:15" ht="15.75" customHeight="1" x14ac:dyDescent="0.25">
      <c r="B124" s="206" t="str">
        <f>'Indicatoren,16-12-21'!B5</f>
        <v>D01b</v>
      </c>
      <c r="C124" s="119" t="str">
        <f t="shared" ref="C124:C130" si="42">VLOOKUP(B124,$B$11:$C$26,2,FALSE)</f>
        <v>Onderscheid draagconstructie en installaties (herbestemmingsdynamiek)</v>
      </c>
      <c r="D124" s="119"/>
      <c r="E124" s="119"/>
      <c r="F124" s="120">
        <f t="shared" ref="F124:F130" si="43">VLOOKUP(B124,$B$11:$J$26,9)</f>
        <v>1</v>
      </c>
      <c r="G124" s="121"/>
      <c r="H124" s="122"/>
      <c r="I124" s="123">
        <f>IF($O$20=1,1/(6*1+1*0.25),1/(6*1+0*0.25))</f>
        <v>0.16666666666666666</v>
      </c>
      <c r="J124" s="163">
        <f>F124*$G$114*$H$123*I124</f>
        <v>1.9999999999999997E-2</v>
      </c>
      <c r="L124" s="222"/>
      <c r="N124" s="213"/>
      <c r="O124" s="213"/>
    </row>
    <row r="125" spans="2:15" ht="15.75" customHeight="1" x14ac:dyDescent="0.25">
      <c r="B125" s="207" t="str">
        <f>'Indicatoren,16-12-21'!B6</f>
        <v>D02a</v>
      </c>
      <c r="C125" s="119" t="str">
        <f t="shared" si="42"/>
        <v>Overmaat gebouwoppervlak</v>
      </c>
      <c r="D125" s="124"/>
      <c r="E125" s="124"/>
      <c r="F125" s="120">
        <f t="shared" si="43"/>
        <v>1</v>
      </c>
      <c r="G125" s="125"/>
      <c r="H125" s="126"/>
      <c r="I125" s="127">
        <f>IF($O$20=1,1/2/(6*1+1*0.25),1/2/(6*1+0*0.25))</f>
        <v>8.3333333333333329E-2</v>
      </c>
      <c r="J125" s="163">
        <f t="shared" ref="J125:J130" si="44">F125*$G$114*$H$123*I125</f>
        <v>9.9999999999999985E-3</v>
      </c>
      <c r="L125" s="222"/>
    </row>
    <row r="126" spans="2:15" ht="15.75" customHeight="1" x14ac:dyDescent="0.25">
      <c r="B126" s="207" t="str">
        <f>'Indicatoren,16-12-21'!B7</f>
        <v>D02b</v>
      </c>
      <c r="C126" s="119" t="str">
        <f t="shared" si="42"/>
        <v>Overmaat woning</v>
      </c>
      <c r="D126" s="124"/>
      <c r="E126" s="124"/>
      <c r="F126" s="120">
        <f t="shared" si="43"/>
        <v>1</v>
      </c>
      <c r="G126" s="125"/>
      <c r="H126" s="126"/>
      <c r="I126" s="127">
        <f>IF($O$20=1,1/2/(6*1+1*0.25),1/2/(6*1+0*0.25))</f>
        <v>8.3333333333333329E-2</v>
      </c>
      <c r="J126" s="163">
        <f>F126*$G$114*$H$123*I126</f>
        <v>9.9999999999999985E-3</v>
      </c>
      <c r="L126" s="222"/>
    </row>
    <row r="127" spans="2:15" ht="15.75" customHeight="1" x14ac:dyDescent="0.25">
      <c r="B127" s="207" t="str">
        <f>'Indicatoren,16-12-21'!B11</f>
        <v>D06</v>
      </c>
      <c r="C127" s="119" t="str">
        <f t="shared" si="42"/>
        <v xml:space="preserve">Instelbaarheid van installaties
</v>
      </c>
      <c r="D127" s="124"/>
      <c r="E127" s="124"/>
      <c r="F127" s="120">
        <f t="shared" si="43"/>
        <v>1</v>
      </c>
      <c r="G127" s="125"/>
      <c r="H127" s="126"/>
      <c r="I127" s="123">
        <f t="shared" ref="I127:I130" si="45">IF($O$20=1,1/(6*1+1*0.25),1/(6*1+0*0.25))</f>
        <v>0.16666666666666666</v>
      </c>
      <c r="J127" s="163">
        <f t="shared" si="44"/>
        <v>1.9999999999999997E-2</v>
      </c>
      <c r="L127" s="222"/>
      <c r="N127" s="213"/>
      <c r="O127" s="213"/>
    </row>
    <row r="128" spans="2:15" ht="15.75" customHeight="1" x14ac:dyDescent="0.25">
      <c r="B128" s="207" t="str">
        <f>'Indicatoren,16-12-21'!B13</f>
        <v>D08</v>
      </c>
      <c r="C128" s="119" t="str">
        <f t="shared" si="42"/>
        <v xml:space="preserve">Ontkoppelbaarheid en bereikbaarheid installatiecomponenten
</v>
      </c>
      <c r="D128" s="124"/>
      <c r="E128" s="124"/>
      <c r="F128" s="120">
        <f t="shared" si="43"/>
        <v>1</v>
      </c>
      <c r="G128" s="125"/>
      <c r="H128" s="126"/>
      <c r="I128" s="123">
        <f t="shared" si="45"/>
        <v>0.16666666666666666</v>
      </c>
      <c r="J128" s="163">
        <f t="shared" si="44"/>
        <v>1.9999999999999997E-2</v>
      </c>
      <c r="L128" s="222"/>
    </row>
    <row r="129" spans="1:23" ht="15.75" customHeight="1" x14ac:dyDescent="0.25">
      <c r="B129" s="207" t="str">
        <f>'Indicatoren,16-12-21'!B16</f>
        <v>D11</v>
      </c>
      <c r="C129" s="119" t="str">
        <f t="shared" si="42"/>
        <v>Aanwezigheid+positie van trappen en/of liften, of uitbredingsmogelijkheden voor trappen/liften</v>
      </c>
      <c r="D129" s="124"/>
      <c r="E129" s="124"/>
      <c r="F129" s="120">
        <f t="shared" si="43"/>
        <v>1</v>
      </c>
      <c r="G129" s="125"/>
      <c r="H129" s="126"/>
      <c r="I129" s="123">
        <f t="shared" si="45"/>
        <v>0.16666666666666666</v>
      </c>
      <c r="J129" s="163">
        <f t="shared" si="44"/>
        <v>1.9999999999999997E-2</v>
      </c>
      <c r="L129" s="222"/>
      <c r="N129" s="213"/>
      <c r="O129" s="213"/>
    </row>
    <row r="130" spans="1:23" ht="15.75" customHeight="1" collapsed="1" x14ac:dyDescent="0.25">
      <c r="B130" s="207" t="str">
        <f>'Indicatoren,16-12-21'!B17</f>
        <v>D12</v>
      </c>
      <c r="C130" s="119" t="str">
        <f t="shared" si="42"/>
        <v xml:space="preserve">Multifunctioneel gebruik gebouw of woning/unit in de tijd
</v>
      </c>
      <c r="D130" s="124"/>
      <c r="E130" s="124"/>
      <c r="F130" s="120">
        <f t="shared" si="43"/>
        <v>1</v>
      </c>
      <c r="G130" s="125"/>
      <c r="H130" s="126"/>
      <c r="I130" s="123">
        <f t="shared" si="45"/>
        <v>0.16666666666666666</v>
      </c>
      <c r="J130" s="163">
        <f t="shared" si="44"/>
        <v>1.9999999999999997E-2</v>
      </c>
      <c r="L130" s="222"/>
    </row>
    <row r="131" spans="1:23" ht="15.75" customHeight="1" x14ac:dyDescent="0.25">
      <c r="B131" s="207" t="str">
        <f>'Indicatoren,16-12-21'!B20</f>
        <v>A01</v>
      </c>
      <c r="C131" s="138" t="str">
        <f t="shared" ref="C131" si="46">VLOOKUP(B131,$B$29:$C$36,2,FALSE)</f>
        <v xml:space="preserve">Utilitaire functie: afstootbaar deel van gebouw, horizontaal of verticaal, of afstootbare gebruikersunit
</v>
      </c>
      <c r="D131" s="133"/>
      <c r="E131" s="128"/>
      <c r="F131" s="129">
        <f t="shared" ref="F131" si="47">VLOOKUP(B131,$B$29:$J$36,9)</f>
        <v>0</v>
      </c>
      <c r="G131" s="134"/>
      <c r="H131" s="135"/>
      <c r="I131" s="132">
        <f>IF($O$20=1,0.25/(6*1+1*0.25),0)</f>
        <v>0</v>
      </c>
      <c r="J131" s="163">
        <f>F131*$G$114*$H$123*I131</f>
        <v>0</v>
      </c>
      <c r="L131" s="222"/>
    </row>
    <row r="132" spans="1:23" ht="15.75" customHeight="1" x14ac:dyDescent="0.25">
      <c r="B132" s="205"/>
      <c r="C132" s="115" t="s">
        <v>59</v>
      </c>
      <c r="D132" s="115"/>
      <c r="E132" s="115"/>
      <c r="F132" s="116"/>
      <c r="G132" s="117"/>
      <c r="H132" s="38">
        <f>'Weegfactoren,14-06-21'!AD19</f>
        <v>0.19999999999999996</v>
      </c>
      <c r="I132" s="118"/>
      <c r="J132" s="162">
        <f>SUM(J133:J136)</f>
        <v>4.4999999999999984E-2</v>
      </c>
      <c r="L132" s="222">
        <f>SUM(I133:I136)</f>
        <v>1</v>
      </c>
    </row>
    <row r="133" spans="1:23" ht="15.75" customHeight="1" x14ac:dyDescent="0.25">
      <c r="B133" s="206" t="str">
        <f>'Indicatoren,16-12-21'!B5</f>
        <v>D01b</v>
      </c>
      <c r="C133" s="119" t="str">
        <f>VLOOKUP(B133,$B$11:$C$26,2,FALSE)</f>
        <v>Onderscheid draagconstructie en installaties (herbestemmingsdynamiek)</v>
      </c>
      <c r="D133" s="119"/>
      <c r="E133" s="119"/>
      <c r="F133" s="120">
        <f>VLOOKUP(B133,$B$11:$J$26,9)</f>
        <v>1</v>
      </c>
      <c r="G133" s="121"/>
      <c r="H133" s="122"/>
      <c r="I133" s="123">
        <f>IF($O$20=1,1/(4*1+0*0.25),1/(4*1+0*0.25))</f>
        <v>0.25</v>
      </c>
      <c r="J133" s="163">
        <f>F133*$G$114*$H$132*I133</f>
        <v>1.4999999999999996E-2</v>
      </c>
      <c r="L133" s="222"/>
    </row>
    <row r="134" spans="1:23" ht="15.75" customHeight="1" x14ac:dyDescent="0.25">
      <c r="B134" s="207" t="str">
        <f>'Indicatoren,16-12-21'!B12</f>
        <v>D07</v>
      </c>
      <c r="C134" s="119" t="str">
        <f>VLOOKUP(B134,$B$11:$C$26,2,FALSE)</f>
        <v xml:space="preserve">Verplaatsbare binnenwanden
</v>
      </c>
      <c r="D134" s="124"/>
      <c r="E134" s="124"/>
      <c r="F134" s="120">
        <f>VLOOKUP(B134,$B$11:$J$26,9)</f>
        <v>1</v>
      </c>
      <c r="G134" s="125"/>
      <c r="H134" s="126"/>
      <c r="I134" s="123">
        <f t="shared" ref="I134:I136" si="48">IF($O$20=1,1/(4*1+0*0.25),1/(4*1+0*0.25))</f>
        <v>0.25</v>
      </c>
      <c r="J134" s="163">
        <f t="shared" ref="J134:J136" si="49">F134*$G$114*$H$132*I134</f>
        <v>1.4999999999999996E-2</v>
      </c>
      <c r="L134" s="222"/>
    </row>
    <row r="135" spans="1:23" ht="15.75" customHeight="1" collapsed="1" x14ac:dyDescent="0.25">
      <c r="B135" s="207" t="str">
        <f>'Indicatoren,16-12-21'!B13</f>
        <v>D08</v>
      </c>
      <c r="C135" s="119" t="str">
        <f>VLOOKUP(B135,$B$11:$C$26,2,FALSE)</f>
        <v xml:space="preserve">Ontkoppelbaarheid en bereikbaarheid installatiecomponenten
</v>
      </c>
      <c r="D135" s="124"/>
      <c r="E135" s="124"/>
      <c r="F135" s="120">
        <f>VLOOKUP(B135,$B$11:$J$26,9)</f>
        <v>1</v>
      </c>
      <c r="G135" s="125"/>
      <c r="H135" s="126"/>
      <c r="I135" s="123">
        <f t="shared" si="48"/>
        <v>0.25</v>
      </c>
      <c r="J135" s="163">
        <f>F135*$G$114*$H$132*I135</f>
        <v>1.4999999999999996E-2</v>
      </c>
      <c r="L135" s="222"/>
    </row>
    <row r="136" spans="1:23" ht="15.75" customHeight="1" x14ac:dyDescent="0.3">
      <c r="B136" s="208" t="str">
        <f>'Indicatoren,16-12-21'!B19</f>
        <v>D14</v>
      </c>
      <c r="C136" s="119" t="str">
        <f>VLOOKUP(B136,$B$11:$C$26,2,FALSE)</f>
        <v>Mogelijkheid tot indeling middels een vrij indeelbare plattegrond.</v>
      </c>
      <c r="D136" s="128"/>
      <c r="E136" s="128"/>
      <c r="F136" s="120" t="b">
        <f>VLOOKUP(B136,$B$11:$J$26,9)</f>
        <v>0</v>
      </c>
      <c r="G136" s="130"/>
      <c r="H136" s="131"/>
      <c r="I136" s="123">
        <f t="shared" si="48"/>
        <v>0.25</v>
      </c>
      <c r="J136" s="163">
        <f t="shared" si="49"/>
        <v>0</v>
      </c>
      <c r="L136" s="222"/>
      <c r="M136" s="159"/>
    </row>
    <row r="137" spans="1:23" s="137" customFormat="1" ht="15.75" customHeight="1" x14ac:dyDescent="0.3">
      <c r="A137" s="7"/>
      <c r="B137" s="204"/>
      <c r="C137" s="110" t="s">
        <v>60</v>
      </c>
      <c r="D137" s="111"/>
      <c r="E137" s="111"/>
      <c r="F137" s="112"/>
      <c r="G137" s="113">
        <f>'Weegfactoren,14-06-21'!AD20</f>
        <v>0.5</v>
      </c>
      <c r="H137" s="36"/>
      <c r="I137" s="114"/>
      <c r="J137" s="161">
        <f>J138+J153</f>
        <v>0.5</v>
      </c>
      <c r="K137" s="218"/>
      <c r="L137" s="222"/>
      <c r="M137" s="152"/>
      <c r="N137" s="217"/>
      <c r="O137" s="217"/>
      <c r="P137" s="218"/>
      <c r="Q137" s="218"/>
      <c r="R137" s="181"/>
      <c r="S137" s="181"/>
      <c r="T137" s="226"/>
      <c r="U137" s="226"/>
      <c r="V137" s="226"/>
      <c r="W137" s="226"/>
    </row>
    <row r="138" spans="1:23" ht="15.75" customHeight="1" x14ac:dyDescent="0.25">
      <c r="B138" s="205"/>
      <c r="C138" s="115" t="s">
        <v>61</v>
      </c>
      <c r="D138" s="115"/>
      <c r="E138" s="115"/>
      <c r="F138" s="116"/>
      <c r="G138" s="117"/>
      <c r="H138" s="38">
        <f>'Weegfactoren,14-06-21'!AD21</f>
        <v>0.6</v>
      </c>
      <c r="I138" s="118"/>
      <c r="J138" s="162">
        <f>IF($F$28="x",0,SUM(J139:J152))</f>
        <v>0.30000000000000004</v>
      </c>
      <c r="L138" s="222">
        <f>SUM(I139:I152)</f>
        <v>0.99999999999999989</v>
      </c>
    </row>
    <row r="139" spans="1:23" ht="15.75" customHeight="1" x14ac:dyDescent="0.3">
      <c r="A139" s="160"/>
      <c r="B139" s="206" t="str">
        <f>'Indicatoren,16-12-21'!B5</f>
        <v>D01b</v>
      </c>
      <c r="C139" s="119" t="str">
        <f t="shared" ref="C139:C149" si="50">VLOOKUP(B139,$B$11:$C$26,2,FALSE)</f>
        <v>Onderscheid draagconstructie en installaties (herbestemmingsdynamiek)</v>
      </c>
      <c r="D139" s="119"/>
      <c r="E139" s="119"/>
      <c r="F139" s="120">
        <f t="shared" ref="F139:F149" si="51">VLOOKUP(B139,$B$11:$J$26,9)</f>
        <v>1</v>
      </c>
      <c r="G139" s="121"/>
      <c r="H139" s="122"/>
      <c r="I139" s="123">
        <f>IF($O$20=1,1/(10*1+3*0.25),1/(10*1+0*0.25))</f>
        <v>0.1</v>
      </c>
      <c r="J139" s="163">
        <f>F139*$G$137*$H$138*I139</f>
        <v>0.03</v>
      </c>
      <c r="L139" s="222"/>
    </row>
    <row r="140" spans="1:23" ht="15.75" customHeight="1" x14ac:dyDescent="0.25">
      <c r="B140" s="207" t="str">
        <f>'Indicatoren,16-12-21'!B6</f>
        <v>D02a</v>
      </c>
      <c r="C140" s="119" t="str">
        <f t="shared" si="50"/>
        <v>Overmaat gebouwoppervlak</v>
      </c>
      <c r="D140" s="124"/>
      <c r="E140" s="124"/>
      <c r="F140" s="120">
        <f t="shared" si="51"/>
        <v>1</v>
      </c>
      <c r="G140" s="125"/>
      <c r="H140" s="126"/>
      <c r="I140" s="123">
        <f>IF($O$20=1,1/2/(10*1+3*0.25),1/2/(10*1+0*0.25))</f>
        <v>0.05</v>
      </c>
      <c r="J140" s="163">
        <f t="shared" ref="J140:J151" si="52">F140*$G$137*$H$138*I140</f>
        <v>1.4999999999999999E-2</v>
      </c>
      <c r="L140" s="222"/>
    </row>
    <row r="141" spans="1:23" ht="15.75" customHeight="1" x14ac:dyDescent="0.25">
      <c r="B141" s="207" t="str">
        <f>'Indicatoren,16-12-21'!B7</f>
        <v>D02b</v>
      </c>
      <c r="C141" s="119" t="str">
        <f t="shared" si="50"/>
        <v>Overmaat woning</v>
      </c>
      <c r="D141" s="124"/>
      <c r="E141" s="124"/>
      <c r="F141" s="120">
        <f t="shared" si="51"/>
        <v>1</v>
      </c>
      <c r="G141" s="125"/>
      <c r="H141" s="126"/>
      <c r="I141" s="123">
        <f>IF($O$20=1,1/2/(10*1+3*0.25),1/2/(10*1+0*0.25))</f>
        <v>0.05</v>
      </c>
      <c r="J141" s="163">
        <f t="shared" si="52"/>
        <v>1.4999999999999999E-2</v>
      </c>
      <c r="L141" s="222"/>
    </row>
    <row r="142" spans="1:23" ht="15.75" customHeight="1" x14ac:dyDescent="0.25">
      <c r="B142" s="207" t="str">
        <f>'Indicatoren,16-12-21'!B8</f>
        <v>D03</v>
      </c>
      <c r="C142" s="119" t="str">
        <f t="shared" si="50"/>
        <v>Vrije verdiepingshoogte</v>
      </c>
      <c r="D142" s="124"/>
      <c r="E142" s="124"/>
      <c r="F142" s="120">
        <f t="shared" si="51"/>
        <v>1</v>
      </c>
      <c r="G142" s="125"/>
      <c r="H142" s="126"/>
      <c r="I142" s="123">
        <f t="shared" ref="I142:I149" si="53">IF($O$20=1,1/(10*1+3*0.25),1/(10*1+0*0.25))</f>
        <v>0.1</v>
      </c>
      <c r="J142" s="163">
        <f t="shared" si="52"/>
        <v>0.03</v>
      </c>
      <c r="L142" s="222"/>
    </row>
    <row r="143" spans="1:23" ht="15.75" customHeight="1" x14ac:dyDescent="0.25">
      <c r="B143" s="207" t="str">
        <f>'Indicatoren,16-12-21'!B11</f>
        <v>D06</v>
      </c>
      <c r="C143" s="119" t="str">
        <f t="shared" si="50"/>
        <v xml:space="preserve">Instelbaarheid van installaties
</v>
      </c>
      <c r="D143" s="124"/>
      <c r="E143" s="124"/>
      <c r="F143" s="120">
        <f t="shared" si="51"/>
        <v>1</v>
      </c>
      <c r="G143" s="125"/>
      <c r="H143" s="126"/>
      <c r="I143" s="123">
        <f t="shared" si="53"/>
        <v>0.1</v>
      </c>
      <c r="J143" s="163">
        <f t="shared" si="52"/>
        <v>0.03</v>
      </c>
      <c r="L143" s="222"/>
    </row>
    <row r="144" spans="1:23" ht="15.75" customHeight="1" x14ac:dyDescent="0.25">
      <c r="B144" s="207" t="str">
        <f>'Indicatoren,16-12-21'!B12</f>
        <v>D07</v>
      </c>
      <c r="C144" s="119" t="str">
        <f t="shared" si="50"/>
        <v xml:space="preserve">Verplaatsbare binnenwanden
</v>
      </c>
      <c r="D144" s="124"/>
      <c r="E144" s="124"/>
      <c r="F144" s="120">
        <f t="shared" si="51"/>
        <v>1</v>
      </c>
      <c r="G144" s="125"/>
      <c r="H144" s="126"/>
      <c r="I144" s="123">
        <f t="shared" si="53"/>
        <v>0.1</v>
      </c>
      <c r="J144" s="163">
        <f t="shared" si="52"/>
        <v>0.03</v>
      </c>
      <c r="L144" s="222"/>
    </row>
    <row r="145" spans="1:23" ht="15.75" customHeight="1" x14ac:dyDescent="0.25">
      <c r="B145" s="207" t="str">
        <f>'Indicatoren,16-12-21'!B13</f>
        <v>D08</v>
      </c>
      <c r="C145" s="119" t="str">
        <f t="shared" si="50"/>
        <v xml:space="preserve">Ontkoppelbaarheid en bereikbaarheid installatiecomponenten
</v>
      </c>
      <c r="D145" s="124"/>
      <c r="E145" s="124"/>
      <c r="F145" s="120">
        <f t="shared" si="51"/>
        <v>1</v>
      </c>
      <c r="G145" s="125"/>
      <c r="H145" s="126"/>
      <c r="I145" s="123">
        <f t="shared" si="53"/>
        <v>0.1</v>
      </c>
      <c r="J145" s="163">
        <f t="shared" si="52"/>
        <v>0.03</v>
      </c>
      <c r="L145" s="222"/>
    </row>
    <row r="146" spans="1:23" ht="15.75" customHeight="1" x14ac:dyDescent="0.25">
      <c r="B146" s="207" t="str">
        <f>'Indicatoren,16-12-21'!B14</f>
        <v>D09</v>
      </c>
      <c r="C146" s="119" t="str">
        <f t="shared" si="50"/>
        <v>Positionering obstakels draagstructuur</v>
      </c>
      <c r="D146" s="124"/>
      <c r="E146" s="124"/>
      <c r="F146" s="120">
        <f t="shared" si="51"/>
        <v>1</v>
      </c>
      <c r="G146" s="125"/>
      <c r="H146" s="126"/>
      <c r="I146" s="123">
        <f t="shared" si="53"/>
        <v>0.1</v>
      </c>
      <c r="J146" s="163">
        <f>F146*$G$137*$H$138*I146</f>
        <v>0.03</v>
      </c>
      <c r="L146" s="222"/>
    </row>
    <row r="147" spans="1:23" ht="15.75" customHeight="1" x14ac:dyDescent="0.25">
      <c r="B147" s="207" t="str">
        <f>'Indicatoren,16-12-21'!B15</f>
        <v>D10</v>
      </c>
      <c r="C147" s="119" t="str">
        <f t="shared" si="50"/>
        <v xml:space="preserve">Daglichttoetreding
</v>
      </c>
      <c r="D147" s="124"/>
      <c r="E147" s="124"/>
      <c r="F147" s="120">
        <f t="shared" si="51"/>
        <v>1</v>
      </c>
      <c r="G147" s="125"/>
      <c r="H147" s="126"/>
      <c r="I147" s="123">
        <f t="shared" si="53"/>
        <v>0.1</v>
      </c>
      <c r="J147" s="163">
        <f t="shared" si="52"/>
        <v>0.03</v>
      </c>
      <c r="L147" s="222"/>
    </row>
    <row r="148" spans="1:23" ht="15.75" customHeight="1" x14ac:dyDescent="0.25">
      <c r="B148" s="207" t="str">
        <f>'Indicatoren,16-12-21'!B17</f>
        <v>D12</v>
      </c>
      <c r="C148" s="119" t="str">
        <f t="shared" si="50"/>
        <v xml:space="preserve">Multifunctioneel gebruik gebouw of woning/unit in de tijd
</v>
      </c>
      <c r="D148" s="124"/>
      <c r="E148" s="124"/>
      <c r="F148" s="120">
        <f t="shared" si="51"/>
        <v>1</v>
      </c>
      <c r="G148" s="125"/>
      <c r="H148" s="126"/>
      <c r="I148" s="123">
        <f t="shared" si="53"/>
        <v>0.1</v>
      </c>
      <c r="J148" s="163">
        <f t="shared" si="52"/>
        <v>0.03</v>
      </c>
      <c r="L148" s="222"/>
    </row>
    <row r="149" spans="1:23" ht="15.75" customHeight="1" x14ac:dyDescent="0.25">
      <c r="B149" s="207" t="str">
        <f>'Indicatoren,16-12-21'!B18</f>
        <v>D13</v>
      </c>
      <c r="C149" s="119" t="str">
        <f t="shared" si="50"/>
        <v>Dragende vloeren</v>
      </c>
      <c r="D149" s="124"/>
      <c r="E149" s="124"/>
      <c r="F149" s="120">
        <f t="shared" si="51"/>
        <v>1</v>
      </c>
      <c r="G149" s="125"/>
      <c r="H149" s="126"/>
      <c r="I149" s="123">
        <f t="shared" si="53"/>
        <v>0.1</v>
      </c>
      <c r="J149" s="163">
        <f t="shared" si="52"/>
        <v>0.03</v>
      </c>
      <c r="L149" s="222"/>
    </row>
    <row r="150" spans="1:23" ht="15.75" customHeight="1" x14ac:dyDescent="0.25">
      <c r="B150" s="207" t="str">
        <f>'Indicatoren,16-12-21'!B21</f>
        <v>A02</v>
      </c>
      <c r="C150" s="138" t="str">
        <f t="shared" ref="C150:C152" si="54">VLOOKUP(B150,$B$29:$C$36,2,FALSE)</f>
        <v>Utilitaire functie: mogelijkheid tot verdeling van de oppervlakte in units van de genoemde grootte.</v>
      </c>
      <c r="D150" s="124"/>
      <c r="E150" s="124"/>
      <c r="F150" s="129">
        <f t="shared" ref="F150:F152" si="55">VLOOKUP(B150,$B$29:$J$36,9)</f>
        <v>0</v>
      </c>
      <c r="G150" s="125"/>
      <c r="H150" s="126"/>
      <c r="I150" s="123">
        <f>IF($O$20=1,0.25/(10*1+3*0.25),0)</f>
        <v>0</v>
      </c>
      <c r="J150" s="163">
        <f t="shared" si="52"/>
        <v>0</v>
      </c>
      <c r="L150" s="222"/>
    </row>
    <row r="151" spans="1:23" ht="15.75" customHeight="1" collapsed="1" x14ac:dyDescent="0.25">
      <c r="B151" s="207" t="str">
        <f>'Indicatoren,16-12-21'!B24</f>
        <v>A05</v>
      </c>
      <c r="C151" s="138" t="str">
        <f t="shared" si="54"/>
        <v>Demontabele gevel</v>
      </c>
      <c r="D151" s="124"/>
      <c r="E151" s="124"/>
      <c r="F151" s="129">
        <f t="shared" si="55"/>
        <v>1</v>
      </c>
      <c r="G151" s="125"/>
      <c r="H151" s="126"/>
      <c r="I151" s="123">
        <f t="shared" ref="I151:I152" si="56">IF($O$20=1,0.25/(10*1+3*0.25),0)</f>
        <v>0</v>
      </c>
      <c r="J151" s="163">
        <f t="shared" si="52"/>
        <v>0</v>
      </c>
      <c r="L151" s="222"/>
    </row>
    <row r="152" spans="1:23" s="7" customFormat="1" ht="15.75" customHeight="1" x14ac:dyDescent="0.25">
      <c r="B152" s="207" t="str">
        <f>'Indicatoren,16-12-21'!B26</f>
        <v>A07</v>
      </c>
      <c r="C152" s="138" t="str">
        <f t="shared" si="54"/>
        <v>Mogelijkheid balkons aan gevel</v>
      </c>
      <c r="D152" s="138"/>
      <c r="E152" s="124"/>
      <c r="F152" s="129">
        <f t="shared" si="55"/>
        <v>1</v>
      </c>
      <c r="G152" s="134"/>
      <c r="H152" s="135"/>
      <c r="I152" s="144">
        <f t="shared" si="56"/>
        <v>0</v>
      </c>
      <c r="J152" s="163">
        <f>F152*$G$137*$H$138*I152</f>
        <v>0</v>
      </c>
      <c r="K152" s="223"/>
      <c r="L152" s="222"/>
      <c r="M152" s="152"/>
      <c r="N152" s="212"/>
      <c r="O152" s="212"/>
      <c r="P152" s="213"/>
      <c r="Q152" s="213"/>
      <c r="R152" s="180"/>
      <c r="S152" s="180"/>
      <c r="T152" s="180"/>
      <c r="U152" s="180"/>
      <c r="V152" s="180"/>
      <c r="W152" s="180"/>
    </row>
    <row r="153" spans="1:23" ht="15.75" customHeight="1" x14ac:dyDescent="0.25">
      <c r="B153" s="209"/>
      <c r="C153" s="139" t="s">
        <v>62</v>
      </c>
      <c r="D153" s="139"/>
      <c r="E153" s="139"/>
      <c r="F153" s="140"/>
      <c r="G153" s="117"/>
      <c r="H153" s="38">
        <f>'Weegfactoren,14-06-21'!AD22</f>
        <v>0.4</v>
      </c>
      <c r="I153" s="118"/>
      <c r="J153" s="162">
        <f>IF($F$28="x",0,SUM(J154:J161))</f>
        <v>0.19999999999999998</v>
      </c>
      <c r="L153" s="222">
        <f>SUM(I154:I161)</f>
        <v>0.99999999999999989</v>
      </c>
    </row>
    <row r="154" spans="1:23" ht="15.75" customHeight="1" x14ac:dyDescent="0.25">
      <c r="A154" s="141"/>
      <c r="B154" s="206" t="str">
        <f>'Indicatoren,16-12-21'!B5</f>
        <v>D01b</v>
      </c>
      <c r="C154" s="119" t="str">
        <f t="shared" ref="C154:C160" si="57">VLOOKUP(B154,$B$11:$C$26,2,FALSE)</f>
        <v>Onderscheid draagconstructie en installaties (herbestemmingsdynamiek)</v>
      </c>
      <c r="D154" s="119"/>
      <c r="E154" s="119"/>
      <c r="F154" s="120">
        <f t="shared" ref="F154:F160" si="58">VLOOKUP(B154,$B$11:$J$26,9)</f>
        <v>1</v>
      </c>
      <c r="G154" s="121"/>
      <c r="H154" s="122"/>
      <c r="I154" s="123">
        <f>IF($O$20=1,1/(6*1+1*0.25),1/(6*1+0*0.25))</f>
        <v>0.16666666666666666</v>
      </c>
      <c r="J154" s="163">
        <f>F154*$G$137*$H$153*I154</f>
        <v>3.3333333333333333E-2</v>
      </c>
      <c r="K154" s="223"/>
      <c r="L154" s="222"/>
    </row>
    <row r="155" spans="1:23" ht="15.75" customHeight="1" x14ac:dyDescent="0.25">
      <c r="B155" s="207" t="str">
        <f>'Indicatoren,16-12-21'!B6</f>
        <v>D02a</v>
      </c>
      <c r="C155" s="119" t="str">
        <f t="shared" si="57"/>
        <v>Overmaat gebouwoppervlak</v>
      </c>
      <c r="D155" s="124"/>
      <c r="E155" s="124"/>
      <c r="F155" s="120">
        <f t="shared" si="58"/>
        <v>1</v>
      </c>
      <c r="G155" s="125"/>
      <c r="H155" s="126"/>
      <c r="I155" s="123">
        <f>IF($O$20=1,1/2/(6*1+1*0.25),1/2/(6*1+0*0.25))</f>
        <v>8.3333333333333329E-2</v>
      </c>
      <c r="J155" s="163">
        <f t="shared" ref="J155:J161" si="59">F155*$G$137*$H$153*I155</f>
        <v>1.6666666666666666E-2</v>
      </c>
      <c r="L155" s="222"/>
      <c r="M155" s="153"/>
    </row>
    <row r="156" spans="1:23" ht="15.75" customHeight="1" x14ac:dyDescent="0.25">
      <c r="B156" s="207" t="str">
        <f>'Indicatoren,16-12-21'!B7</f>
        <v>D02b</v>
      </c>
      <c r="C156" s="119" t="str">
        <f t="shared" si="57"/>
        <v>Overmaat woning</v>
      </c>
      <c r="D156" s="124"/>
      <c r="E156" s="124"/>
      <c r="F156" s="120">
        <f t="shared" si="58"/>
        <v>1</v>
      </c>
      <c r="G156" s="125"/>
      <c r="H156" s="126"/>
      <c r="I156" s="123">
        <f>IF($O$20=1,1/2/(6*1+1*0.25),1/2/(6*1+0*0.25))</f>
        <v>8.3333333333333329E-2</v>
      </c>
      <c r="J156" s="163">
        <f t="shared" si="59"/>
        <v>1.6666666666666666E-2</v>
      </c>
      <c r="L156" s="222"/>
      <c r="M156" s="153"/>
    </row>
    <row r="157" spans="1:23" ht="15.75" customHeight="1" x14ac:dyDescent="0.25">
      <c r="A157" s="141"/>
      <c r="B157" s="207" t="str">
        <f>'Indicatoren,16-12-21'!B8</f>
        <v>D03</v>
      </c>
      <c r="C157" s="119" t="str">
        <f t="shared" si="57"/>
        <v>Vrije verdiepingshoogte</v>
      </c>
      <c r="D157" s="124"/>
      <c r="E157" s="124"/>
      <c r="F157" s="120">
        <f t="shared" si="58"/>
        <v>1</v>
      </c>
      <c r="G157" s="125"/>
      <c r="H157" s="126"/>
      <c r="I157" s="123">
        <f t="shared" ref="I157:I160" si="60">IF($O$20=1,1/(6*1+1*0.25),1/(6*1+0*0.25))</f>
        <v>0.16666666666666666</v>
      </c>
      <c r="J157" s="163">
        <f>F157*$G$137*$H$153*I157</f>
        <v>3.3333333333333333E-2</v>
      </c>
      <c r="L157" s="222"/>
      <c r="M157" s="153"/>
    </row>
    <row r="158" spans="1:23" ht="15.75" customHeight="1" x14ac:dyDescent="0.25">
      <c r="B158" s="207" t="str">
        <f>'Indicatoren,16-12-21'!B11</f>
        <v>D06</v>
      </c>
      <c r="C158" s="119" t="str">
        <f t="shared" si="57"/>
        <v xml:space="preserve">Instelbaarheid van installaties
</v>
      </c>
      <c r="D158" s="124"/>
      <c r="E158" s="124"/>
      <c r="F158" s="120">
        <f t="shared" si="58"/>
        <v>1</v>
      </c>
      <c r="G158" s="125"/>
      <c r="H158" s="126"/>
      <c r="I158" s="123">
        <f t="shared" si="60"/>
        <v>0.16666666666666666</v>
      </c>
      <c r="J158" s="163">
        <f t="shared" si="59"/>
        <v>3.3333333333333333E-2</v>
      </c>
      <c r="L158" s="222"/>
      <c r="M158" s="153"/>
    </row>
    <row r="159" spans="1:23" ht="15.75" customHeight="1" x14ac:dyDescent="0.25">
      <c r="B159" s="207" t="str">
        <f>'Indicatoren,16-12-21'!B12</f>
        <v>D07</v>
      </c>
      <c r="C159" s="119" t="str">
        <f t="shared" si="57"/>
        <v xml:space="preserve">Verplaatsbare binnenwanden
</v>
      </c>
      <c r="D159" s="124"/>
      <c r="E159" s="124"/>
      <c r="F159" s="120">
        <f t="shared" si="58"/>
        <v>1</v>
      </c>
      <c r="G159" s="125"/>
      <c r="H159" s="126"/>
      <c r="I159" s="123">
        <f t="shared" si="60"/>
        <v>0.16666666666666666</v>
      </c>
      <c r="J159" s="163">
        <f t="shared" si="59"/>
        <v>3.3333333333333333E-2</v>
      </c>
      <c r="L159" s="222"/>
      <c r="M159" s="153"/>
    </row>
    <row r="160" spans="1:23" ht="15.75" customHeight="1" collapsed="1" x14ac:dyDescent="0.25">
      <c r="B160" s="207" t="str">
        <f>'Indicatoren,16-12-21'!B13</f>
        <v>D08</v>
      </c>
      <c r="C160" s="119" t="str">
        <f t="shared" si="57"/>
        <v xml:space="preserve">Ontkoppelbaarheid en bereikbaarheid installatiecomponenten
</v>
      </c>
      <c r="D160" s="124"/>
      <c r="E160" s="124"/>
      <c r="F160" s="120">
        <f t="shared" si="58"/>
        <v>1</v>
      </c>
      <c r="G160" s="125"/>
      <c r="H160" s="126"/>
      <c r="I160" s="123">
        <f t="shared" si="60"/>
        <v>0.16666666666666666</v>
      </c>
      <c r="J160" s="163">
        <f>F160*$G$137*$H$153*I160</f>
        <v>3.3333333333333333E-2</v>
      </c>
      <c r="L160" s="222"/>
      <c r="M160" s="153"/>
    </row>
    <row r="161" spans="2:23" ht="15.75" customHeight="1" x14ac:dyDescent="0.3">
      <c r="B161" s="208" t="str">
        <f>'Indicatoren,16-12-21'!B21</f>
        <v>A02</v>
      </c>
      <c r="C161" s="138" t="str">
        <f t="shared" ref="C161" si="61">VLOOKUP(B161,$B$29:$C$36,2,FALSE)</f>
        <v>Utilitaire functie: mogelijkheid tot verdeling van de oppervlakte in units van de genoemde grootte.</v>
      </c>
      <c r="D161" s="133"/>
      <c r="E161" s="128"/>
      <c r="F161" s="129">
        <f t="shared" ref="F161" si="62">VLOOKUP(B161,$B$29:$J$36,9)</f>
        <v>0</v>
      </c>
      <c r="G161" s="134"/>
      <c r="H161" s="135"/>
      <c r="I161" s="123">
        <f>IF($O$20=1,0.25/(6*1+1*0.25),0)</f>
        <v>0</v>
      </c>
      <c r="J161" s="163">
        <f t="shared" si="59"/>
        <v>0</v>
      </c>
      <c r="L161" s="222"/>
      <c r="M161" s="159"/>
    </row>
    <row r="162" spans="2:23" s="7" customFormat="1" ht="15.75" customHeight="1" x14ac:dyDescent="0.25">
      <c r="B162" s="204"/>
      <c r="C162" s="110" t="s">
        <v>63</v>
      </c>
      <c r="D162" s="111"/>
      <c r="E162" s="111"/>
      <c r="F162" s="112"/>
      <c r="G162" s="113">
        <f>'Weegfactoren,14-06-21'!AD23</f>
        <v>0.19999999999999996</v>
      </c>
      <c r="H162" s="36"/>
      <c r="I162" s="114"/>
      <c r="J162" s="161">
        <f>J174+J163</f>
        <v>0.1999999999999999</v>
      </c>
      <c r="K162" s="213"/>
      <c r="L162" s="222"/>
      <c r="M162" s="152"/>
      <c r="N162" s="212"/>
      <c r="O162" s="212"/>
      <c r="P162" s="213"/>
      <c r="Q162" s="213"/>
      <c r="R162" s="180"/>
      <c r="S162" s="180"/>
      <c r="T162" s="180"/>
      <c r="U162" s="180"/>
      <c r="V162" s="180"/>
      <c r="W162" s="180"/>
    </row>
    <row r="163" spans="2:23" ht="15.75" customHeight="1" x14ac:dyDescent="0.25">
      <c r="B163" s="205"/>
      <c r="C163" s="115" t="s">
        <v>64</v>
      </c>
      <c r="D163" s="115"/>
      <c r="E163" s="115"/>
      <c r="F163" s="116"/>
      <c r="G163" s="117"/>
      <c r="H163" s="38">
        <f>'Weegfactoren,14-06-21'!AD24</f>
        <v>0.3</v>
      </c>
      <c r="I163" s="118"/>
      <c r="J163" s="162">
        <f>SUM(J164:J173)</f>
        <v>5.9999999999999984E-2</v>
      </c>
      <c r="L163" s="222">
        <f>SUM(I164:I173)</f>
        <v>0.99999999999999978</v>
      </c>
      <c r="M163" s="153"/>
    </row>
    <row r="164" spans="2:23" ht="15.75" customHeight="1" x14ac:dyDescent="0.25">
      <c r="B164" s="206" t="str">
        <f>'Indicatoren,16-12-21'!B5</f>
        <v>D01b</v>
      </c>
      <c r="C164" s="119" t="str">
        <f t="shared" ref="C164:C171" si="63">VLOOKUP(B164,$B$11:$C$26,2,FALSE)</f>
        <v>Onderscheid draagconstructie en installaties (herbestemmingsdynamiek)</v>
      </c>
      <c r="D164" s="119"/>
      <c r="E164" s="119"/>
      <c r="F164" s="120">
        <f t="shared" ref="F164:F171" si="64">VLOOKUP(B164,$B$11:$J$26,9)</f>
        <v>1</v>
      </c>
      <c r="G164" s="121"/>
      <c r="H164" s="122"/>
      <c r="I164" s="123">
        <f>IF($O$20=1,1/(7*1+2*0.25),1/(7*1+0*0.25))</f>
        <v>0.14285714285714285</v>
      </c>
      <c r="J164" s="163">
        <f>F164*$G$162*$H$163*I164</f>
        <v>8.5714285714285684E-3</v>
      </c>
      <c r="L164" s="222"/>
      <c r="M164" s="153"/>
      <c r="N164" s="213"/>
      <c r="O164" s="213"/>
    </row>
    <row r="165" spans="2:23" ht="15.75" customHeight="1" x14ac:dyDescent="0.25">
      <c r="B165" s="207" t="str">
        <f>'Indicatoren,16-12-21'!B6</f>
        <v>D02a</v>
      </c>
      <c r="C165" s="119" t="str">
        <f t="shared" si="63"/>
        <v>Overmaat gebouwoppervlak</v>
      </c>
      <c r="D165" s="124"/>
      <c r="E165" s="124"/>
      <c r="F165" s="120">
        <f t="shared" si="64"/>
        <v>1</v>
      </c>
      <c r="G165" s="125"/>
      <c r="H165" s="126"/>
      <c r="I165" s="123">
        <f>IF($O$20=1,1/2/(7*1+2*0.25),1/2/(7*1+0*0.25))</f>
        <v>7.1428571428571425E-2</v>
      </c>
      <c r="J165" s="163">
        <f t="shared" ref="J165:J171" si="65">F165*$G$162*$H$163*I165</f>
        <v>4.2857142857142842E-3</v>
      </c>
      <c r="L165" s="222"/>
      <c r="M165" s="153"/>
    </row>
    <row r="166" spans="2:23" ht="15.75" customHeight="1" x14ac:dyDescent="0.25">
      <c r="B166" s="207" t="str">
        <f>'Indicatoren,16-12-21'!B7</f>
        <v>D02b</v>
      </c>
      <c r="C166" s="119" t="str">
        <f t="shared" si="63"/>
        <v>Overmaat woning</v>
      </c>
      <c r="D166" s="124"/>
      <c r="E166" s="124"/>
      <c r="F166" s="120">
        <f t="shared" si="64"/>
        <v>1</v>
      </c>
      <c r="G166" s="125"/>
      <c r="H166" s="126"/>
      <c r="I166" s="123">
        <f>IF($O$20=1,1/2/(7*1+2*0.25),1/2/(7*1+0*0.25))</f>
        <v>7.1428571428571425E-2</v>
      </c>
      <c r="J166" s="163">
        <f t="shared" si="65"/>
        <v>4.2857142857142842E-3</v>
      </c>
      <c r="L166" s="222"/>
      <c r="M166" s="153"/>
    </row>
    <row r="167" spans="2:23" ht="15.75" customHeight="1" x14ac:dyDescent="0.25">
      <c r="B167" s="207" t="str">
        <f>'Indicatoren,16-12-21'!B8</f>
        <v>D03</v>
      </c>
      <c r="C167" s="119" t="str">
        <f t="shared" si="63"/>
        <v>Vrije verdiepingshoogte</v>
      </c>
      <c r="D167" s="124"/>
      <c r="E167" s="124"/>
      <c r="F167" s="120">
        <f t="shared" si="64"/>
        <v>1</v>
      </c>
      <c r="G167" s="125"/>
      <c r="H167" s="126"/>
      <c r="I167" s="123">
        <f t="shared" ref="I167:I171" si="66">IF($O$20=1,1/(7*1+2*0.25),1/(7*1+0*0.25))</f>
        <v>0.14285714285714285</v>
      </c>
      <c r="J167" s="163">
        <f t="shared" si="65"/>
        <v>8.5714285714285684E-3</v>
      </c>
      <c r="L167" s="222"/>
      <c r="N167" s="213"/>
      <c r="O167" s="213"/>
    </row>
    <row r="168" spans="2:23" ht="15.75" customHeight="1" x14ac:dyDescent="0.25">
      <c r="B168" s="207" t="str">
        <f>'Indicatoren,16-12-21'!B11</f>
        <v>D06</v>
      </c>
      <c r="C168" s="119" t="str">
        <f t="shared" si="63"/>
        <v xml:space="preserve">Instelbaarheid van installaties
</v>
      </c>
      <c r="D168" s="124"/>
      <c r="E168" s="124"/>
      <c r="F168" s="120">
        <f t="shared" si="64"/>
        <v>1</v>
      </c>
      <c r="G168" s="125"/>
      <c r="H168" s="126"/>
      <c r="I168" s="123">
        <f t="shared" si="66"/>
        <v>0.14285714285714285</v>
      </c>
      <c r="J168" s="163">
        <f t="shared" si="65"/>
        <v>8.5714285714285684E-3</v>
      </c>
      <c r="L168" s="222"/>
      <c r="M168" s="153"/>
      <c r="N168" s="213"/>
      <c r="O168" s="213"/>
    </row>
    <row r="169" spans="2:23" ht="15.75" customHeight="1" x14ac:dyDescent="0.25">
      <c r="B169" s="207" t="str">
        <f>'Indicatoren,16-12-21'!B13</f>
        <v>D08</v>
      </c>
      <c r="C169" s="119" t="str">
        <f t="shared" si="63"/>
        <v xml:space="preserve">Ontkoppelbaarheid en bereikbaarheid installatiecomponenten
</v>
      </c>
      <c r="D169" s="124"/>
      <c r="E169" s="124"/>
      <c r="F169" s="120">
        <f t="shared" si="64"/>
        <v>1</v>
      </c>
      <c r="G169" s="125"/>
      <c r="H169" s="126"/>
      <c r="I169" s="123">
        <f t="shared" si="66"/>
        <v>0.14285714285714285</v>
      </c>
      <c r="J169" s="163">
        <f t="shared" si="65"/>
        <v>8.5714285714285684E-3</v>
      </c>
      <c r="L169" s="222"/>
      <c r="M169" s="153"/>
      <c r="N169" s="213"/>
      <c r="O169" s="213"/>
    </row>
    <row r="170" spans="2:23" ht="15.75" customHeight="1" x14ac:dyDescent="0.25">
      <c r="B170" s="207" t="str">
        <f>'Indicatoren,16-12-21'!B17</f>
        <v>D12</v>
      </c>
      <c r="C170" s="119" t="str">
        <f t="shared" si="63"/>
        <v xml:space="preserve">Multifunctioneel gebruik gebouw of woning/unit in de tijd
</v>
      </c>
      <c r="D170" s="124"/>
      <c r="E170" s="124"/>
      <c r="F170" s="120">
        <f t="shared" si="64"/>
        <v>1</v>
      </c>
      <c r="G170" s="125"/>
      <c r="H170" s="126"/>
      <c r="I170" s="123">
        <f t="shared" si="66"/>
        <v>0.14285714285714285</v>
      </c>
      <c r="J170" s="163">
        <f t="shared" si="65"/>
        <v>8.5714285714285684E-3</v>
      </c>
      <c r="L170" s="222"/>
      <c r="M170" s="153"/>
      <c r="N170" s="213"/>
      <c r="O170" s="213"/>
    </row>
    <row r="171" spans="2:23" ht="15.75" customHeight="1" x14ac:dyDescent="0.25">
      <c r="B171" s="207" t="str">
        <f>'Indicatoren,16-12-21'!B18</f>
        <v>D13</v>
      </c>
      <c r="C171" s="119" t="str">
        <f t="shared" si="63"/>
        <v>Dragende vloeren</v>
      </c>
      <c r="D171" s="124"/>
      <c r="E171" s="124"/>
      <c r="F171" s="120">
        <f t="shared" si="64"/>
        <v>1</v>
      </c>
      <c r="G171" s="125"/>
      <c r="H171" s="126"/>
      <c r="I171" s="123">
        <f t="shared" si="66"/>
        <v>0.14285714285714285</v>
      </c>
      <c r="J171" s="163">
        <f t="shared" si="65"/>
        <v>8.5714285714285684E-3</v>
      </c>
      <c r="L171" s="222"/>
      <c r="M171" s="153"/>
      <c r="N171" s="213"/>
      <c r="O171" s="213"/>
    </row>
    <row r="172" spans="2:23" ht="15.75" customHeight="1" collapsed="1" x14ac:dyDescent="0.25">
      <c r="B172" s="207" t="str">
        <f>'Indicatoren,16-12-21'!B24</f>
        <v>A05</v>
      </c>
      <c r="C172" s="138" t="str">
        <f t="shared" ref="C172:C173" si="67">VLOOKUP(B172,$B$29:$C$36,2,FALSE)</f>
        <v>Demontabele gevel</v>
      </c>
      <c r="D172" s="138"/>
      <c r="E172" s="124"/>
      <c r="F172" s="129">
        <f t="shared" ref="F172:F173" si="68">VLOOKUP(B172,$B$29:$J$36,9)</f>
        <v>1</v>
      </c>
      <c r="G172" s="142"/>
      <c r="H172" s="143"/>
      <c r="I172" s="123">
        <f>IF($O$20=1,0.25/(7*1+2*0.25),0)</f>
        <v>0</v>
      </c>
      <c r="J172" s="163">
        <f>F172*$G$162*$H$163*I172</f>
        <v>0</v>
      </c>
      <c r="L172" s="222"/>
      <c r="M172" s="153"/>
    </row>
    <row r="173" spans="2:23" s="7" customFormat="1" ht="15.75" customHeight="1" x14ac:dyDescent="0.25">
      <c r="B173" s="208" t="str">
        <f>'Indicatoren,16-12-21'!B26</f>
        <v>A07</v>
      </c>
      <c r="C173" s="138" t="str">
        <f t="shared" si="67"/>
        <v>Mogelijkheid balkons aan gevel</v>
      </c>
      <c r="D173" s="133"/>
      <c r="E173" s="128"/>
      <c r="F173" s="129">
        <f t="shared" si="68"/>
        <v>1</v>
      </c>
      <c r="G173" s="134"/>
      <c r="H173" s="135"/>
      <c r="I173" s="132">
        <f>IF($O$20=1,0.25/(7*1+2*0.25),0)</f>
        <v>0</v>
      </c>
      <c r="J173" s="163">
        <f>F173*$G$162*$H$163*I173</f>
        <v>0</v>
      </c>
      <c r="K173" s="213"/>
      <c r="L173" s="222"/>
      <c r="M173" s="152"/>
      <c r="N173" s="212"/>
      <c r="O173" s="212"/>
      <c r="P173" s="213"/>
      <c r="Q173" s="213"/>
      <c r="R173" s="180"/>
      <c r="S173" s="180"/>
      <c r="T173" s="180"/>
      <c r="U173" s="180"/>
      <c r="V173" s="180"/>
      <c r="W173" s="180"/>
    </row>
    <row r="174" spans="2:23" ht="15.75" customHeight="1" x14ac:dyDescent="0.25">
      <c r="B174" s="205"/>
      <c r="C174" s="115" t="s">
        <v>65</v>
      </c>
      <c r="D174" s="115"/>
      <c r="E174" s="115"/>
      <c r="F174" s="116"/>
      <c r="G174" s="117"/>
      <c r="H174" s="38">
        <f>'Weegfactoren,14-06-21'!AD25</f>
        <v>0.7</v>
      </c>
      <c r="I174" s="118"/>
      <c r="J174" s="162">
        <f>SUM(J175:J187)</f>
        <v>0.13999999999999993</v>
      </c>
      <c r="L174" s="222">
        <f>SUM(I175:I187)</f>
        <v>0.99999999999999989</v>
      </c>
      <c r="M174" s="153"/>
    </row>
    <row r="175" spans="2:23" ht="15.75" customHeight="1" x14ac:dyDescent="0.25">
      <c r="B175" s="206" t="str">
        <f>'Indicatoren,16-12-21'!B5</f>
        <v>D01b</v>
      </c>
      <c r="C175" s="119" t="str">
        <f t="shared" ref="C175:C181" si="69">VLOOKUP(B175,$B$11:$C$26,2,FALSE)</f>
        <v>Onderscheid draagconstructie en installaties (herbestemmingsdynamiek)</v>
      </c>
      <c r="D175" s="119"/>
      <c r="E175" s="119"/>
      <c r="F175" s="120">
        <f t="shared" ref="F175:F181" si="70">VLOOKUP(B175,$B$11:$J$26,9)</f>
        <v>1</v>
      </c>
      <c r="G175" s="121"/>
      <c r="H175" s="122"/>
      <c r="I175" s="123">
        <f>IF($O$20=1,1/(6*1+6*0.25),1/(6*1+0*0.25))</f>
        <v>0.16666666666666666</v>
      </c>
      <c r="J175" s="163">
        <f>F175*$G$162*$H$174*I175</f>
        <v>2.3333333333333324E-2</v>
      </c>
      <c r="L175" s="222"/>
      <c r="M175" s="153"/>
    </row>
    <row r="176" spans="2:23" ht="15.75" customHeight="1" x14ac:dyDescent="0.25">
      <c r="B176" s="207" t="str">
        <f>'Indicatoren,16-12-21'!B6</f>
        <v>D02a</v>
      </c>
      <c r="C176" s="119" t="str">
        <f t="shared" si="69"/>
        <v>Overmaat gebouwoppervlak</v>
      </c>
      <c r="D176" s="124"/>
      <c r="E176" s="124"/>
      <c r="F176" s="120">
        <f t="shared" si="70"/>
        <v>1</v>
      </c>
      <c r="G176" s="125"/>
      <c r="H176" s="126"/>
      <c r="I176" s="123">
        <f>IF($O$20=1,1/2/(6*1+6*0.25),1/2/(6*1+0*0.25))</f>
        <v>8.3333333333333329E-2</v>
      </c>
      <c r="J176" s="163">
        <f t="shared" ref="J176:J187" si="71">F176*$G$162*$H$174*I176</f>
        <v>1.1666666666666662E-2</v>
      </c>
      <c r="L176" s="222"/>
    </row>
    <row r="177" spans="2:15" ht="15.75" customHeight="1" x14ac:dyDescent="0.25">
      <c r="B177" s="207" t="str">
        <f>'Indicatoren,16-12-21'!B7</f>
        <v>D02b</v>
      </c>
      <c r="C177" s="119" t="str">
        <f t="shared" si="69"/>
        <v>Overmaat woning</v>
      </c>
      <c r="D177" s="124"/>
      <c r="E177" s="124"/>
      <c r="F177" s="120">
        <f t="shared" si="70"/>
        <v>1</v>
      </c>
      <c r="G177" s="125"/>
      <c r="H177" s="126"/>
      <c r="I177" s="123">
        <f>IF($O$20=1,1/2/(6*1+6*0.25),1/2/(6*1+0*0.25))</f>
        <v>8.3333333333333329E-2</v>
      </c>
      <c r="J177" s="163">
        <f t="shared" si="71"/>
        <v>1.1666666666666662E-2</v>
      </c>
      <c r="L177" s="222"/>
    </row>
    <row r="178" spans="2:15" ht="15.75" customHeight="1" x14ac:dyDescent="0.25">
      <c r="B178" s="207" t="str">
        <f>'Indicatoren,16-12-21'!B8</f>
        <v>D03</v>
      </c>
      <c r="C178" s="119" t="str">
        <f t="shared" si="69"/>
        <v>Vrije verdiepingshoogte</v>
      </c>
      <c r="D178" s="124"/>
      <c r="E178" s="124"/>
      <c r="F178" s="120">
        <f t="shared" si="70"/>
        <v>1</v>
      </c>
      <c r="G178" s="125"/>
      <c r="H178" s="126"/>
      <c r="I178" s="123">
        <f t="shared" ref="I178:I181" si="72">IF($O$20=1,1/(6*1+6*0.25),1/(6*1+0*0.25))</f>
        <v>0.16666666666666666</v>
      </c>
      <c r="J178" s="163">
        <f t="shared" si="71"/>
        <v>2.3333333333333324E-2</v>
      </c>
      <c r="L178" s="222"/>
    </row>
    <row r="179" spans="2:15" ht="15.75" customHeight="1" x14ac:dyDescent="0.25">
      <c r="B179" s="207" t="str">
        <f>'Indicatoren,16-12-21'!B12</f>
        <v>D07</v>
      </c>
      <c r="C179" s="119" t="str">
        <f t="shared" si="69"/>
        <v xml:space="preserve">Verplaatsbare binnenwanden
</v>
      </c>
      <c r="D179" s="124"/>
      <c r="E179" s="124"/>
      <c r="F179" s="120">
        <f t="shared" si="70"/>
        <v>1</v>
      </c>
      <c r="G179" s="125"/>
      <c r="H179" s="126"/>
      <c r="I179" s="123">
        <f t="shared" si="72"/>
        <v>0.16666666666666666</v>
      </c>
      <c r="J179" s="163">
        <f t="shared" si="71"/>
        <v>2.3333333333333324E-2</v>
      </c>
      <c r="L179" s="222"/>
    </row>
    <row r="180" spans="2:15" ht="15.75" customHeight="1" x14ac:dyDescent="0.25">
      <c r="B180" s="207" t="str">
        <f>'Indicatoren,16-12-21'!B15</f>
        <v>D10</v>
      </c>
      <c r="C180" s="119" t="str">
        <f t="shared" si="69"/>
        <v xml:space="preserve">Daglichttoetreding
</v>
      </c>
      <c r="D180" s="124"/>
      <c r="E180" s="124"/>
      <c r="F180" s="120">
        <f t="shared" si="70"/>
        <v>1</v>
      </c>
      <c r="G180" s="125"/>
      <c r="H180" s="126"/>
      <c r="I180" s="123">
        <f t="shared" si="72"/>
        <v>0.16666666666666666</v>
      </c>
      <c r="J180" s="163">
        <f t="shared" si="71"/>
        <v>2.3333333333333324E-2</v>
      </c>
      <c r="L180" s="222"/>
    </row>
    <row r="181" spans="2:15" ht="15.75" customHeight="1" x14ac:dyDescent="0.25">
      <c r="B181" s="207" t="str">
        <f>'Indicatoren,16-12-21'!B18</f>
        <v>D13</v>
      </c>
      <c r="C181" s="119" t="str">
        <f t="shared" si="69"/>
        <v>Dragende vloeren</v>
      </c>
      <c r="D181" s="124"/>
      <c r="E181" s="124"/>
      <c r="F181" s="120">
        <f t="shared" si="70"/>
        <v>1</v>
      </c>
      <c r="G181" s="125"/>
      <c r="H181" s="126"/>
      <c r="I181" s="123">
        <f t="shared" si="72"/>
        <v>0.16666666666666666</v>
      </c>
      <c r="J181" s="163">
        <f t="shared" si="71"/>
        <v>2.3333333333333324E-2</v>
      </c>
      <c r="L181" s="222"/>
      <c r="M181" s="153"/>
    </row>
    <row r="182" spans="2:15" ht="15.75" customHeight="1" x14ac:dyDescent="0.25">
      <c r="B182" s="207" t="str">
        <f>'Indicatoren,16-12-21'!B21</f>
        <v>A02</v>
      </c>
      <c r="C182" s="138" t="str">
        <f t="shared" ref="C182:C187" si="73">VLOOKUP(B182,$B$29:$C$36,2,FALSE)</f>
        <v>Utilitaire functie: mogelijkheid tot verdeling van de oppervlakte in units van de genoemde grootte.</v>
      </c>
      <c r="D182" s="124"/>
      <c r="E182" s="124"/>
      <c r="F182" s="129">
        <f t="shared" ref="F182:F187" si="74">VLOOKUP(B182,$B$29:$J$36,9)</f>
        <v>0</v>
      </c>
      <c r="G182" s="125"/>
      <c r="H182" s="126"/>
      <c r="I182" s="123">
        <f>IF($O$20=1,0.25/(6*1+6*0.25),0)</f>
        <v>0</v>
      </c>
      <c r="J182" s="163">
        <f t="shared" si="71"/>
        <v>0</v>
      </c>
      <c r="L182" s="222"/>
      <c r="M182" s="153"/>
    </row>
    <row r="183" spans="2:15" ht="15.75" customHeight="1" x14ac:dyDescent="0.25">
      <c r="B183" s="207" t="str">
        <f>'Indicatoren,16-12-21'!B23</f>
        <v>A04</v>
      </c>
      <c r="C183" s="138" t="str">
        <f t="shared" si="73"/>
        <v>Utilitaire functie: te openen ramen.</v>
      </c>
      <c r="D183" s="124"/>
      <c r="E183" s="124"/>
      <c r="F183" s="129">
        <f t="shared" si="74"/>
        <v>0</v>
      </c>
      <c r="G183" s="125"/>
      <c r="H183" s="126"/>
      <c r="I183" s="123">
        <f t="shared" ref="I183:I187" si="75">IF($O$20=1,0.25/(6*1+6*0.25),0)</f>
        <v>0</v>
      </c>
      <c r="J183" s="163">
        <f t="shared" si="71"/>
        <v>0</v>
      </c>
      <c r="L183" s="222"/>
      <c r="M183" s="153"/>
    </row>
    <row r="184" spans="2:15" ht="15.75" customHeight="1" x14ac:dyDescent="0.25">
      <c r="B184" s="208" t="str">
        <f>'Indicatoren,16-12-21'!B24</f>
        <v>A05</v>
      </c>
      <c r="C184" s="138" t="str">
        <f t="shared" si="73"/>
        <v>Demontabele gevel</v>
      </c>
      <c r="D184" s="133"/>
      <c r="E184" s="128"/>
      <c r="F184" s="129">
        <f t="shared" si="74"/>
        <v>1</v>
      </c>
      <c r="G184" s="134"/>
      <c r="H184" s="135"/>
      <c r="I184" s="123">
        <f t="shared" si="75"/>
        <v>0</v>
      </c>
      <c r="J184" s="163">
        <f t="shared" si="71"/>
        <v>0</v>
      </c>
      <c r="L184" s="222"/>
      <c r="M184" s="153"/>
    </row>
    <row r="185" spans="2:15" ht="15.75" customHeight="1" x14ac:dyDescent="0.25">
      <c r="B185" s="207" t="str">
        <f>'Indicatoren,16-12-21'!B25</f>
        <v>A06</v>
      </c>
      <c r="C185" s="138" t="str">
        <f t="shared" si="73"/>
        <v xml:space="preserve">Aanpasbaarheid gevel (-componenten)
</v>
      </c>
      <c r="D185" s="124"/>
      <c r="E185" s="124"/>
      <c r="F185" s="129">
        <f t="shared" si="74"/>
        <v>1</v>
      </c>
      <c r="G185" s="125"/>
      <c r="H185" s="126"/>
      <c r="I185" s="123">
        <f t="shared" si="75"/>
        <v>0</v>
      </c>
      <c r="J185" s="163">
        <f>F185*$G$162*$H$174*I185</f>
        <v>0</v>
      </c>
      <c r="L185" s="222"/>
      <c r="M185" s="153"/>
    </row>
    <row r="186" spans="2:15" ht="15.75" customHeight="1" collapsed="1" x14ac:dyDescent="0.25">
      <c r="B186" s="207" t="str">
        <f>'Indicatoren,16-12-21'!B26</f>
        <v>A07</v>
      </c>
      <c r="C186" s="138" t="str">
        <f t="shared" si="73"/>
        <v>Mogelijkheid balkons aan gevel</v>
      </c>
      <c r="D186" s="124"/>
      <c r="E186" s="124"/>
      <c r="F186" s="129">
        <f t="shared" si="74"/>
        <v>1</v>
      </c>
      <c r="G186" s="125"/>
      <c r="H186" s="126"/>
      <c r="I186" s="123">
        <f t="shared" si="75"/>
        <v>0</v>
      </c>
      <c r="J186" s="163">
        <f t="shared" si="71"/>
        <v>0</v>
      </c>
      <c r="L186" s="222"/>
      <c r="M186" s="153"/>
      <c r="N186" s="213"/>
      <c r="O186" s="213"/>
    </row>
    <row r="187" spans="2:15" ht="15.75" customHeight="1" thickBot="1" x14ac:dyDescent="0.3">
      <c r="B187" s="208" t="str">
        <f>'Indicatoren,16-12-21'!B27</f>
        <v>A08</v>
      </c>
      <c r="C187" s="133" t="str">
        <f t="shared" si="73"/>
        <v>Verticale uitbreiding: ontsluiting</v>
      </c>
      <c r="D187" s="133"/>
      <c r="E187" s="128"/>
      <c r="F187" s="129">
        <f t="shared" si="74"/>
        <v>1</v>
      </c>
      <c r="G187" s="134"/>
      <c r="H187" s="135"/>
      <c r="I187" s="144">
        <f t="shared" si="75"/>
        <v>0</v>
      </c>
      <c r="J187" s="163">
        <f t="shared" si="71"/>
        <v>0</v>
      </c>
      <c r="L187" s="222"/>
    </row>
    <row r="188" spans="2:15" ht="15.75" customHeight="1" x14ac:dyDescent="0.25">
      <c r="B188" s="210"/>
      <c r="C188" s="145"/>
      <c r="D188" s="145"/>
      <c r="E188" s="145"/>
      <c r="F188" s="146"/>
      <c r="G188" s="8"/>
      <c r="H188" s="8"/>
      <c r="I188" s="8"/>
      <c r="J188" s="147"/>
      <c r="L188" s="222"/>
    </row>
    <row r="189" spans="2:15" ht="15.75" customHeight="1" x14ac:dyDescent="0.25">
      <c r="L189" s="222"/>
    </row>
  </sheetData>
  <sheetProtection algorithmName="SHA-512" hashValue="54G9hSNJp5GMWENsRC5s7nZOKW0aLCKUR10qxPOqnI//wgLC4VwIbb9zBTbOsfFLsrOrodFq3xbIZ82QxF6Q+Q==" saltValue="JYGi/lNDsm9Z71mX9WbGIg==" spinCount="100000" sheet="1" objects="1" scenarios="1"/>
  <sortState xmlns:xlrd2="http://schemas.microsoft.com/office/spreadsheetml/2017/richdata2" ref="B29:J36">
    <sortCondition ref="B29:B36"/>
  </sortState>
  <mergeCells count="13">
    <mergeCell ref="H2:J2"/>
    <mergeCell ref="B2:G2"/>
    <mergeCell ref="G112:I112"/>
    <mergeCell ref="L22:M22"/>
    <mergeCell ref="G45:I45"/>
    <mergeCell ref="B3:J3"/>
    <mergeCell ref="B8:J8"/>
    <mergeCell ref="B37:I37"/>
    <mergeCell ref="G40:I40"/>
    <mergeCell ref="G42:I42"/>
    <mergeCell ref="G43:I43"/>
    <mergeCell ref="L20:M20"/>
    <mergeCell ref="L21:M21"/>
  </mergeCells>
  <conditionalFormatting sqref="F29:I36">
    <cfRule type="expression" dxfId="8" priority="13">
      <formula>$L$22=1</formula>
    </cfRule>
  </conditionalFormatting>
  <conditionalFormatting sqref="F27">
    <cfRule type="expression" dxfId="7" priority="12">
      <formula>$F$27="x"</formula>
    </cfRule>
  </conditionalFormatting>
  <conditionalFormatting sqref="F28">
    <cfRule type="expression" dxfId="6" priority="11">
      <formula>$F$28="x"</formula>
    </cfRule>
  </conditionalFormatting>
  <conditionalFormatting sqref="B29:C36 E30:J36 F29:J29 F29:I36">
    <cfRule type="expression" dxfId="5" priority="15">
      <formula>$L$22=1</formula>
    </cfRule>
  </conditionalFormatting>
  <conditionalFormatting sqref="D29:D36">
    <cfRule type="expression" dxfId="4" priority="9">
      <formula>$L$22=1</formula>
    </cfRule>
  </conditionalFormatting>
  <conditionalFormatting sqref="J113">
    <cfRule type="expression" dxfId="3" priority="16">
      <formula>$F$27="x"</formula>
    </cfRule>
  </conditionalFormatting>
  <conditionalFormatting sqref="J67 J80 J138 J153">
    <cfRule type="expression" dxfId="2" priority="17">
      <formula>$F$28="x"</formula>
    </cfRule>
  </conditionalFormatting>
  <conditionalFormatting sqref="F29:I32">
    <cfRule type="expression" dxfId="1" priority="1">
      <formula>$O$20=0</formula>
    </cfRule>
  </conditionalFormatting>
  <dataValidations count="7">
    <dataValidation type="list" allowBlank="1" showInputMessage="1" showErrorMessage="1" sqref="D5" xr:uid="{B2240DEC-4FC7-42B8-887F-7B5829666AC7}">
      <formula1>$L$16:$L$17</formula1>
    </dataValidation>
    <dataValidation type="list" allowBlank="1" showInputMessage="1" showErrorMessage="1" sqref="D9" xr:uid="{5632B315-E419-4CF1-887C-7E38D048765A}">
      <formula1>$L$20:$L$21</formula1>
    </dataValidation>
    <dataValidation type="custom" allowBlank="1" showInputMessage="1" showErrorMessage="1" error="Geef de juiste prestatie aan met x, laat het veld anders leeg!" sqref="F27:I28" xr:uid="{621CBA7B-EF00-4CEC-AC3E-988CFFF74F9F}">
      <formula1>F27="x"</formula1>
    </dataValidation>
    <dataValidation type="custom" allowBlank="1" showInputMessage="1" showErrorMessage="1" error="Geef bij elke indicator één prestatie aan, niet meer en niet minder. Gebruik hiervoor een x." sqref="F29:I36 F11:I26" xr:uid="{5C0BAF99-D816-4121-A580-F6DD4CAC3867}">
      <formula1>AND(F11="x",COUNTA($F11:$I11)=1)</formula1>
    </dataValidation>
    <dataValidation type="list" allowBlank="1" showInputMessage="1" showErrorMessage="1" sqref="D4" xr:uid="{B7BDBA7C-A88A-48F6-8C61-0CC4EF6BB942}">
      <formula1>$L$10:$L$13</formula1>
    </dataValidation>
    <dataValidation type="custom" allowBlank="1" showInputMessage="1" showErrorMessage="1" error="alleen x is mogelijk" prompt="Geef de best passende prestatie aan met een x" sqref="J11:J28" xr:uid="{0DFACC15-9852-4EEE-BD79-79A4BC68F23D}">
      <formula1>J11="x"</formula1>
    </dataValidation>
    <dataValidation type="custom" allowBlank="1" showInputMessage="1" showErrorMessage="1" error="Maar 1 keuze is mogelijk!" sqref="E11:E36" xr:uid="{E92B4181-0EB3-48FB-B795-8431A82F9046}">
      <formula1>E11&gt;1</formula1>
    </dataValidation>
  </dataValidations>
  <pageMargins left="0.7" right="0.7" top="0.75" bottom="0.75" header="0.3" footer="0.3"/>
  <pageSetup paperSize="9" orientation="portrait" horizontalDpi="4294967293" verticalDpi="0" r:id="rId1"/>
  <ignoredErrors>
    <ignoredError sqref="L2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2A186-9226-45AA-9F6B-3A0EEC36211E}">
  <dimension ref="B1:AI26"/>
  <sheetViews>
    <sheetView showGridLines="0" showRowColHeaders="0" workbookViewId="0">
      <selection activeCell="I10" sqref="I10"/>
    </sheetView>
  </sheetViews>
  <sheetFormatPr defaultColWidth="9.09765625" defaultRowHeight="20.25" customHeight="1" x14ac:dyDescent="0.25"/>
  <cols>
    <col min="1" max="1" width="2.09765625" style="3" customWidth="1"/>
    <col min="2" max="2" width="24.8984375" style="5" customWidth="1"/>
    <col min="3" max="10" width="7.296875" style="6" customWidth="1"/>
    <col min="11" max="11" width="1.8984375" style="6" customWidth="1"/>
    <col min="12" max="19" width="7.296875" style="6" customWidth="1"/>
    <col min="20" max="20" width="2" style="6" customWidth="1"/>
    <col min="21" max="28" width="7.296875" style="6" customWidth="1"/>
    <col min="29" max="29" width="1.8984375" style="6" customWidth="1"/>
    <col min="30" max="30" width="8.296875" style="6" bestFit="1" customWidth="1"/>
    <col min="31" max="31" width="9.09765625" style="3"/>
    <col min="32" max="35" width="9.09765625" style="4"/>
    <col min="36" max="16384" width="9.09765625" style="3"/>
  </cols>
  <sheetData>
    <row r="1" spans="2:35" ht="9" customHeight="1" thickBot="1" x14ac:dyDescent="0.3"/>
    <row r="2" spans="2:35" ht="20.25" customHeight="1" x14ac:dyDescent="0.25">
      <c r="B2" s="9" t="s">
        <v>66</v>
      </c>
      <c r="C2" s="348" t="s">
        <v>67</v>
      </c>
      <c r="D2" s="348"/>
      <c r="E2" s="348"/>
      <c r="F2" s="348"/>
      <c r="G2" s="348"/>
      <c r="H2" s="348"/>
      <c r="I2" s="348"/>
      <c r="J2" s="348"/>
      <c r="K2" s="10"/>
      <c r="L2" s="348" t="s">
        <v>68</v>
      </c>
      <c r="M2" s="348"/>
      <c r="N2" s="348"/>
      <c r="O2" s="348"/>
      <c r="P2" s="348"/>
      <c r="Q2" s="348"/>
      <c r="R2" s="348"/>
      <c r="S2" s="348"/>
      <c r="T2" s="10"/>
      <c r="U2" s="348" t="s">
        <v>267</v>
      </c>
      <c r="V2" s="348"/>
      <c r="W2" s="348"/>
      <c r="X2" s="348"/>
      <c r="Y2" s="348"/>
      <c r="Z2" s="348"/>
      <c r="AA2" s="348"/>
      <c r="AB2" s="348"/>
      <c r="AC2" s="11"/>
      <c r="AD2" s="2" t="s">
        <v>69</v>
      </c>
    </row>
    <row r="3" spans="2:35" ht="20.25" customHeight="1" x14ac:dyDescent="0.25">
      <c r="B3" s="12" t="s">
        <v>70</v>
      </c>
      <c r="C3" s="189" t="str">
        <f>'Rekensheet, 23-05-22'!$P$11</f>
        <v>1.WO-BI</v>
      </c>
      <c r="D3" s="189" t="str">
        <f>'Rekensheet, 23-05-22'!$P$12</f>
        <v>2.WO-NB</v>
      </c>
      <c r="E3" s="189" t="str">
        <f>'Rekensheet, 23-05-22'!$P$13</f>
        <v>3.KA-BI</v>
      </c>
      <c r="F3" s="189" t="str">
        <f>'Rekensheet, 23-05-22'!$P$14</f>
        <v>4.KA-NB</v>
      </c>
      <c r="G3" s="189" t="str">
        <f>'Rekensheet, 23-05-22'!$P$15</f>
        <v>5.WI-BI</v>
      </c>
      <c r="H3" s="189" t="str">
        <f>'Rekensheet, 23-05-22'!$P$16</f>
        <v>6.WI-NB</v>
      </c>
      <c r="I3" s="189" t="str">
        <f>'Rekensheet, 23-05-22'!$P$17</f>
        <v>7.UO-BI</v>
      </c>
      <c r="J3" s="189" t="str">
        <f>'Rekensheet, 23-05-22'!$P$18</f>
        <v>8.UO-NB</v>
      </c>
      <c r="K3" s="189"/>
      <c r="L3" s="189" t="str">
        <f>'Rekensheet, 23-05-22'!$P$11</f>
        <v>1.WO-BI</v>
      </c>
      <c r="M3" s="189" t="str">
        <f>'Rekensheet, 23-05-22'!$P$12</f>
        <v>2.WO-NB</v>
      </c>
      <c r="N3" s="189" t="str">
        <f>'Rekensheet, 23-05-22'!$P$13</f>
        <v>3.KA-BI</v>
      </c>
      <c r="O3" s="189" t="str">
        <f>'Rekensheet, 23-05-22'!$P$14</f>
        <v>4.KA-NB</v>
      </c>
      <c r="P3" s="189" t="str">
        <f>'Rekensheet, 23-05-22'!$P$15</f>
        <v>5.WI-BI</v>
      </c>
      <c r="Q3" s="189" t="str">
        <f>'Rekensheet, 23-05-22'!$P$16</f>
        <v>6.WI-NB</v>
      </c>
      <c r="R3" s="189" t="str">
        <f>'Rekensheet, 23-05-22'!$P$17</f>
        <v>7.UO-BI</v>
      </c>
      <c r="S3" s="189" t="str">
        <f>'Rekensheet, 23-05-22'!$P$18</f>
        <v>8.UO-NB</v>
      </c>
      <c r="T3" s="189"/>
      <c r="U3" s="189" t="str">
        <f>'Rekensheet, 23-05-22'!$P$11</f>
        <v>1.WO-BI</v>
      </c>
      <c r="V3" s="189" t="str">
        <f>'Rekensheet, 23-05-22'!$P$12</f>
        <v>2.WO-NB</v>
      </c>
      <c r="W3" s="189" t="str">
        <f>'Rekensheet, 23-05-22'!$P$13</f>
        <v>3.KA-BI</v>
      </c>
      <c r="X3" s="189" t="str">
        <f>'Rekensheet, 23-05-22'!$P$14</f>
        <v>4.KA-NB</v>
      </c>
      <c r="Y3" s="189" t="str">
        <f>'Rekensheet, 23-05-22'!$P$15</f>
        <v>5.WI-BI</v>
      </c>
      <c r="Z3" s="189" t="str">
        <f>'Rekensheet, 23-05-22'!$P$16</f>
        <v>6.WI-NB</v>
      </c>
      <c r="AA3" s="189" t="str">
        <f>'Rekensheet, 23-05-22'!$P$17</f>
        <v>7.UO-BI</v>
      </c>
      <c r="AB3" s="189" t="str">
        <f>'Rekensheet, 23-05-22'!$P$18</f>
        <v>8.UO-NB</v>
      </c>
      <c r="AC3" s="11"/>
      <c r="AD3" s="48" t="str">
        <f>'Rekensheet, 23-05-22'!$D$6</f>
        <v>2.WO-NB</v>
      </c>
    </row>
    <row r="4" spans="2:35" s="19" customFormat="1" ht="20.25" customHeight="1" x14ac:dyDescent="0.25">
      <c r="B4" s="31" t="s">
        <v>71</v>
      </c>
      <c r="C4" s="33">
        <v>0.7</v>
      </c>
      <c r="D4" s="34">
        <v>0.7</v>
      </c>
      <c r="E4" s="34">
        <v>0.5</v>
      </c>
      <c r="F4" s="34">
        <v>0.4</v>
      </c>
      <c r="G4" s="34">
        <v>0.8</v>
      </c>
      <c r="H4" s="34">
        <v>0.7</v>
      </c>
      <c r="I4" s="34">
        <v>0.6</v>
      </c>
      <c r="J4" s="35">
        <v>0.5</v>
      </c>
      <c r="K4" s="32"/>
      <c r="L4" s="25"/>
      <c r="M4" s="25"/>
      <c r="N4" s="25"/>
      <c r="O4" s="25"/>
      <c r="P4" s="25"/>
      <c r="Q4" s="25"/>
      <c r="R4" s="25"/>
      <c r="S4" s="25"/>
      <c r="T4" s="25"/>
      <c r="U4" s="25"/>
      <c r="V4" s="25"/>
      <c r="W4" s="25"/>
      <c r="X4" s="25"/>
      <c r="Y4" s="25"/>
      <c r="Z4" s="25"/>
      <c r="AA4" s="25"/>
      <c r="AB4" s="25"/>
      <c r="AC4" s="17"/>
      <c r="AD4" s="18">
        <f>HLOOKUP($AD$3,$C$3:$J$25,2)</f>
        <v>0.7</v>
      </c>
      <c r="AF4" s="20"/>
      <c r="AG4" s="20"/>
      <c r="AH4" s="20"/>
      <c r="AI4" s="20"/>
    </row>
    <row r="5" spans="2:35" s="19" customFormat="1" ht="20.25" customHeight="1" x14ac:dyDescent="0.25">
      <c r="B5" s="26" t="s">
        <v>56</v>
      </c>
      <c r="C5" s="27"/>
      <c r="D5" s="27"/>
      <c r="E5" s="27"/>
      <c r="F5" s="27"/>
      <c r="G5" s="27"/>
      <c r="H5" s="27"/>
      <c r="I5" s="27"/>
      <c r="J5" s="27"/>
      <c r="K5" s="36"/>
      <c r="L5" s="33">
        <v>0.3</v>
      </c>
      <c r="M5" s="34">
        <v>0.3</v>
      </c>
      <c r="N5" s="34">
        <v>0.3</v>
      </c>
      <c r="O5" s="34">
        <v>0.3</v>
      </c>
      <c r="P5" s="34">
        <v>0.3</v>
      </c>
      <c r="Q5" s="34">
        <v>0.3</v>
      </c>
      <c r="R5" s="34">
        <v>0.3</v>
      </c>
      <c r="S5" s="35">
        <v>0.3</v>
      </c>
      <c r="T5" s="37"/>
      <c r="U5" s="27"/>
      <c r="V5" s="27"/>
      <c r="W5" s="27"/>
      <c r="X5" s="27"/>
      <c r="Y5" s="27"/>
      <c r="Z5" s="27"/>
      <c r="AA5" s="27"/>
      <c r="AB5" s="27"/>
      <c r="AC5" s="21"/>
      <c r="AD5" s="22">
        <f>HLOOKUP($AD$3,$L$3:$S$25,3)</f>
        <v>0.3</v>
      </c>
      <c r="AF5" s="20"/>
      <c r="AG5" s="20"/>
      <c r="AH5" s="20"/>
      <c r="AI5" s="20"/>
    </row>
    <row r="6" spans="2:35" s="19" customFormat="1" ht="20.25" customHeight="1" x14ac:dyDescent="0.25">
      <c r="B6" s="28" t="s">
        <v>57</v>
      </c>
      <c r="C6" s="29"/>
      <c r="D6" s="29"/>
      <c r="E6" s="29"/>
      <c r="F6" s="29"/>
      <c r="G6" s="29"/>
      <c r="H6" s="29"/>
      <c r="I6" s="29"/>
      <c r="J6" s="29"/>
      <c r="K6" s="29"/>
      <c r="L6" s="29"/>
      <c r="M6" s="29"/>
      <c r="N6" s="29"/>
      <c r="O6" s="29"/>
      <c r="P6" s="29"/>
      <c r="Q6" s="29"/>
      <c r="R6" s="29"/>
      <c r="S6" s="29"/>
      <c r="T6" s="38"/>
      <c r="U6" s="33">
        <v>0.5</v>
      </c>
      <c r="V6" s="34">
        <v>0.5</v>
      </c>
      <c r="W6" s="34">
        <v>0.5</v>
      </c>
      <c r="X6" s="34">
        <v>0.5</v>
      </c>
      <c r="Y6" s="34">
        <v>0.5</v>
      </c>
      <c r="Z6" s="34">
        <v>0.5</v>
      </c>
      <c r="AA6" s="34">
        <v>0.5</v>
      </c>
      <c r="AB6" s="35">
        <v>0.5</v>
      </c>
      <c r="AC6" s="23"/>
      <c r="AD6" s="24">
        <f>HLOOKUP($AD$3,$U$3:$AB$25,4)</f>
        <v>0.5</v>
      </c>
      <c r="AF6" s="20"/>
      <c r="AG6" s="20"/>
      <c r="AH6" s="20"/>
      <c r="AI6" s="20"/>
    </row>
    <row r="7" spans="2:35" s="19" customFormat="1" ht="20.25" customHeight="1" x14ac:dyDescent="0.25">
      <c r="B7" s="28" t="s">
        <v>58</v>
      </c>
      <c r="C7" s="29"/>
      <c r="D7" s="29"/>
      <c r="E7" s="29"/>
      <c r="F7" s="29"/>
      <c r="G7" s="29"/>
      <c r="H7" s="29"/>
      <c r="I7" s="29"/>
      <c r="J7" s="29"/>
      <c r="K7" s="29"/>
      <c r="L7" s="29"/>
      <c r="M7" s="29"/>
      <c r="N7" s="29"/>
      <c r="O7" s="29"/>
      <c r="P7" s="29"/>
      <c r="Q7" s="29"/>
      <c r="R7" s="29"/>
      <c r="S7" s="29"/>
      <c r="T7" s="38"/>
      <c r="U7" s="33">
        <v>0.5</v>
      </c>
      <c r="V7" s="34">
        <v>0.5</v>
      </c>
      <c r="W7" s="34">
        <v>0.5</v>
      </c>
      <c r="X7" s="34">
        <v>0.5</v>
      </c>
      <c r="Y7" s="34">
        <v>0.5</v>
      </c>
      <c r="Z7" s="34">
        <v>0.5</v>
      </c>
      <c r="AA7" s="34">
        <v>0.5</v>
      </c>
      <c r="AB7" s="35">
        <v>0.5</v>
      </c>
      <c r="AC7" s="23"/>
      <c r="AD7" s="24">
        <f>HLOOKUP($AD$3,$U$3:$AB$25,5)</f>
        <v>0.5</v>
      </c>
      <c r="AF7" s="20"/>
      <c r="AG7" s="20"/>
      <c r="AH7" s="20"/>
      <c r="AI7" s="20"/>
    </row>
    <row r="8" spans="2:35" s="19" customFormat="1" ht="20.25" customHeight="1" x14ac:dyDescent="0.25">
      <c r="B8" s="28" t="s">
        <v>59</v>
      </c>
      <c r="C8" s="29"/>
      <c r="D8" s="29"/>
      <c r="E8" s="29"/>
      <c r="F8" s="29"/>
      <c r="G8" s="29"/>
      <c r="H8" s="29"/>
      <c r="I8" s="29"/>
      <c r="J8" s="29"/>
      <c r="K8" s="29"/>
      <c r="L8" s="29"/>
      <c r="M8" s="29"/>
      <c r="N8" s="29"/>
      <c r="O8" s="29"/>
      <c r="P8" s="29"/>
      <c r="Q8" s="29"/>
      <c r="R8" s="29"/>
      <c r="S8" s="29"/>
      <c r="T8" s="38"/>
      <c r="U8" s="39">
        <f t="shared" ref="U8:AB8" si="0">1-(U6+U7)</f>
        <v>0</v>
      </c>
      <c r="V8" s="40">
        <f t="shared" si="0"/>
        <v>0</v>
      </c>
      <c r="W8" s="40">
        <f t="shared" si="0"/>
        <v>0</v>
      </c>
      <c r="X8" s="40">
        <f t="shared" si="0"/>
        <v>0</v>
      </c>
      <c r="Y8" s="40">
        <f t="shared" ref="Y8:Z8" si="1">1-(Y6+Y7)</f>
        <v>0</v>
      </c>
      <c r="Z8" s="40">
        <f t="shared" si="1"/>
        <v>0</v>
      </c>
      <c r="AA8" s="40">
        <f t="shared" si="0"/>
        <v>0</v>
      </c>
      <c r="AB8" s="41">
        <f t="shared" si="0"/>
        <v>0</v>
      </c>
      <c r="AC8" s="23"/>
      <c r="AD8" s="24">
        <f>HLOOKUP($AD$3,$U$3:$AB$25,6)</f>
        <v>0</v>
      </c>
      <c r="AF8" s="20"/>
      <c r="AG8" s="20"/>
      <c r="AH8" s="20"/>
      <c r="AI8" s="20"/>
    </row>
    <row r="9" spans="2:35" s="19" customFormat="1" ht="20.25" customHeight="1" x14ac:dyDescent="0.25">
      <c r="B9" s="26" t="s">
        <v>60</v>
      </c>
      <c r="C9" s="27"/>
      <c r="D9" s="27"/>
      <c r="E9" s="27"/>
      <c r="F9" s="27"/>
      <c r="G9" s="27"/>
      <c r="H9" s="27"/>
      <c r="I9" s="27"/>
      <c r="J9" s="27"/>
      <c r="K9" s="36"/>
      <c r="L9" s="33">
        <v>0.3</v>
      </c>
      <c r="M9" s="34">
        <v>0.3</v>
      </c>
      <c r="N9" s="34">
        <v>0.3</v>
      </c>
      <c r="O9" s="34">
        <v>0.3</v>
      </c>
      <c r="P9" s="34">
        <v>0.3</v>
      </c>
      <c r="Q9" s="34">
        <v>0.3</v>
      </c>
      <c r="R9" s="34">
        <v>0.3</v>
      </c>
      <c r="S9" s="35">
        <v>0.3</v>
      </c>
      <c r="T9" s="37"/>
      <c r="U9" s="27"/>
      <c r="V9" s="27"/>
      <c r="W9" s="27"/>
      <c r="X9" s="27"/>
      <c r="Y9" s="27"/>
      <c r="Z9" s="27"/>
      <c r="AA9" s="27"/>
      <c r="AB9" s="27"/>
      <c r="AC9" s="21"/>
      <c r="AD9" s="22">
        <f>HLOOKUP($AD$3,$L$3:$S$25,7)</f>
        <v>0.3</v>
      </c>
      <c r="AF9" s="20"/>
      <c r="AG9" s="20"/>
      <c r="AH9" s="20"/>
      <c r="AI9" s="20"/>
    </row>
    <row r="10" spans="2:35" s="19" customFormat="1" ht="20.25" customHeight="1" x14ac:dyDescent="0.25">
      <c r="B10" s="28" t="s">
        <v>61</v>
      </c>
      <c r="C10" s="29"/>
      <c r="D10" s="29"/>
      <c r="E10" s="29"/>
      <c r="F10" s="29"/>
      <c r="G10" s="29"/>
      <c r="H10" s="29"/>
      <c r="I10" s="29"/>
      <c r="J10" s="29"/>
      <c r="K10" s="29"/>
      <c r="L10" s="29"/>
      <c r="M10" s="29"/>
      <c r="N10" s="29"/>
      <c r="O10" s="29"/>
      <c r="P10" s="29"/>
      <c r="Q10" s="29"/>
      <c r="R10" s="29"/>
      <c r="S10" s="29"/>
      <c r="T10" s="38"/>
      <c r="U10" s="33">
        <v>0.3</v>
      </c>
      <c r="V10" s="34">
        <v>0.3</v>
      </c>
      <c r="W10" s="34">
        <v>0.3</v>
      </c>
      <c r="X10" s="34">
        <v>0.3</v>
      </c>
      <c r="Y10" s="34">
        <v>0.3</v>
      </c>
      <c r="Z10" s="34">
        <v>0.3</v>
      </c>
      <c r="AA10" s="34">
        <v>0.3</v>
      </c>
      <c r="AB10" s="35">
        <v>0.3</v>
      </c>
      <c r="AC10" s="23"/>
      <c r="AD10" s="24">
        <f>HLOOKUP($AD$3,$U$3:$AB$25,8)</f>
        <v>0.3</v>
      </c>
      <c r="AF10" s="20"/>
      <c r="AG10" s="20"/>
      <c r="AH10" s="20"/>
      <c r="AI10" s="20"/>
    </row>
    <row r="11" spans="2:35" s="19" customFormat="1" ht="20.25" customHeight="1" x14ac:dyDescent="0.25">
      <c r="B11" s="28" t="s">
        <v>62</v>
      </c>
      <c r="C11" s="29"/>
      <c r="D11" s="29"/>
      <c r="E11" s="29"/>
      <c r="F11" s="29"/>
      <c r="G11" s="29"/>
      <c r="H11" s="29"/>
      <c r="I11" s="29"/>
      <c r="J11" s="29"/>
      <c r="K11" s="29"/>
      <c r="L11" s="29"/>
      <c r="M11" s="29"/>
      <c r="N11" s="29"/>
      <c r="O11" s="29"/>
      <c r="P11" s="29"/>
      <c r="Q11" s="29"/>
      <c r="R11" s="29"/>
      <c r="S11" s="29"/>
      <c r="T11" s="38"/>
      <c r="U11" s="39">
        <f t="shared" ref="U11:AB11" si="2">1-U10</f>
        <v>0.7</v>
      </c>
      <c r="V11" s="40">
        <f t="shared" si="2"/>
        <v>0.7</v>
      </c>
      <c r="W11" s="40">
        <f t="shared" si="2"/>
        <v>0.7</v>
      </c>
      <c r="X11" s="40">
        <f t="shared" si="2"/>
        <v>0.7</v>
      </c>
      <c r="Y11" s="40">
        <f t="shared" ref="Y11:Z11" si="3">1-Y10</f>
        <v>0.7</v>
      </c>
      <c r="Z11" s="40">
        <f t="shared" si="3"/>
        <v>0.7</v>
      </c>
      <c r="AA11" s="40">
        <f t="shared" si="2"/>
        <v>0.7</v>
      </c>
      <c r="AB11" s="41">
        <f t="shared" si="2"/>
        <v>0.7</v>
      </c>
      <c r="AC11" s="23"/>
      <c r="AD11" s="24">
        <f>HLOOKUP($AD$3,$U$3:$AB$25,9)</f>
        <v>0.7</v>
      </c>
      <c r="AF11" s="20"/>
      <c r="AG11" s="20"/>
      <c r="AH11" s="20"/>
      <c r="AI11" s="20"/>
    </row>
    <row r="12" spans="2:35" s="19" customFormat="1" ht="20.25" customHeight="1" x14ac:dyDescent="0.25">
      <c r="B12" s="26" t="s">
        <v>63</v>
      </c>
      <c r="C12" s="27"/>
      <c r="D12" s="27"/>
      <c r="E12" s="27"/>
      <c r="F12" s="27"/>
      <c r="G12" s="27"/>
      <c r="H12" s="27"/>
      <c r="I12" s="27"/>
      <c r="J12" s="27"/>
      <c r="K12" s="36"/>
      <c r="L12" s="49">
        <f>1-(L5+L9)</f>
        <v>0.4</v>
      </c>
      <c r="M12" s="50">
        <f t="shared" ref="M12:S12" si="4">1-(M5+M9)</f>
        <v>0.4</v>
      </c>
      <c r="N12" s="50">
        <f t="shared" si="4"/>
        <v>0.4</v>
      </c>
      <c r="O12" s="50">
        <f t="shared" si="4"/>
        <v>0.4</v>
      </c>
      <c r="P12" s="50">
        <f t="shared" ref="P12:Q12" si="5">1-(P5+P9)</f>
        <v>0.4</v>
      </c>
      <c r="Q12" s="50">
        <f t="shared" si="5"/>
        <v>0.4</v>
      </c>
      <c r="R12" s="50">
        <f t="shared" si="4"/>
        <v>0.4</v>
      </c>
      <c r="S12" s="51">
        <f t="shared" si="4"/>
        <v>0.4</v>
      </c>
      <c r="T12" s="37"/>
      <c r="U12" s="27"/>
      <c r="V12" s="27"/>
      <c r="W12" s="27"/>
      <c r="X12" s="27"/>
      <c r="Y12" s="27"/>
      <c r="Z12" s="27"/>
      <c r="AA12" s="27"/>
      <c r="AB12" s="27"/>
      <c r="AC12" s="21"/>
      <c r="AD12" s="22">
        <f>HLOOKUP($AD$3,$L$3:$S$25,10)</f>
        <v>0.4</v>
      </c>
      <c r="AF12" s="20"/>
      <c r="AG12" s="20"/>
      <c r="AH12" s="20"/>
      <c r="AI12" s="20"/>
    </row>
    <row r="13" spans="2:35" s="19" customFormat="1" ht="20.25" customHeight="1" x14ac:dyDescent="0.25">
      <c r="B13" s="28" t="s">
        <v>64</v>
      </c>
      <c r="C13" s="29"/>
      <c r="D13" s="29"/>
      <c r="E13" s="29"/>
      <c r="F13" s="29"/>
      <c r="G13" s="29"/>
      <c r="H13" s="29"/>
      <c r="I13" s="29"/>
      <c r="J13" s="29"/>
      <c r="K13" s="29"/>
      <c r="L13" s="29"/>
      <c r="M13" s="29"/>
      <c r="N13" s="29"/>
      <c r="O13" s="29"/>
      <c r="P13" s="29"/>
      <c r="Q13" s="29"/>
      <c r="R13" s="29"/>
      <c r="S13" s="29"/>
      <c r="T13" s="38"/>
      <c r="U13" s="33">
        <v>0.5</v>
      </c>
      <c r="V13" s="34">
        <v>0.5</v>
      </c>
      <c r="W13" s="34">
        <v>0.5</v>
      </c>
      <c r="X13" s="34">
        <v>0.5</v>
      </c>
      <c r="Y13" s="34">
        <v>0.5</v>
      </c>
      <c r="Z13" s="34">
        <v>0.5</v>
      </c>
      <c r="AA13" s="34">
        <v>0.5</v>
      </c>
      <c r="AB13" s="35">
        <v>0.5</v>
      </c>
      <c r="AC13" s="23"/>
      <c r="AD13" s="24">
        <f>HLOOKUP($AD$3,$U$3:$AB$25,11)</f>
        <v>0.5</v>
      </c>
      <c r="AF13" s="20"/>
      <c r="AG13" s="20"/>
      <c r="AH13" s="20"/>
      <c r="AI13" s="20"/>
    </row>
    <row r="14" spans="2:35" s="19" customFormat="1" ht="20.25" customHeight="1" x14ac:dyDescent="0.25">
      <c r="B14" s="28" t="s">
        <v>65</v>
      </c>
      <c r="C14" s="29"/>
      <c r="D14" s="29"/>
      <c r="E14" s="29"/>
      <c r="F14" s="29"/>
      <c r="G14" s="29"/>
      <c r="H14" s="29"/>
      <c r="I14" s="29"/>
      <c r="J14" s="29"/>
      <c r="K14" s="29"/>
      <c r="L14" s="29"/>
      <c r="M14" s="29"/>
      <c r="N14" s="29"/>
      <c r="O14" s="29"/>
      <c r="P14" s="29"/>
      <c r="Q14" s="29"/>
      <c r="R14" s="29"/>
      <c r="S14" s="29"/>
      <c r="T14" s="38"/>
      <c r="U14" s="39">
        <f>1-U13</f>
        <v>0.5</v>
      </c>
      <c r="V14" s="40">
        <f t="shared" ref="V14:AB14" si="6">1-V13</f>
        <v>0.5</v>
      </c>
      <c r="W14" s="40">
        <f t="shared" si="6"/>
        <v>0.5</v>
      </c>
      <c r="X14" s="40">
        <f t="shared" si="6"/>
        <v>0.5</v>
      </c>
      <c r="Y14" s="40">
        <f t="shared" ref="Y14:Z14" si="7">1-Y13</f>
        <v>0.5</v>
      </c>
      <c r="Z14" s="40">
        <f t="shared" si="7"/>
        <v>0.5</v>
      </c>
      <c r="AA14" s="40">
        <f t="shared" si="6"/>
        <v>0.5</v>
      </c>
      <c r="AB14" s="41">
        <f t="shared" si="6"/>
        <v>0.5</v>
      </c>
      <c r="AC14" s="23"/>
      <c r="AD14" s="24">
        <f>HLOOKUP($AD$3,$U$3:$AB$25,12)</f>
        <v>0.5</v>
      </c>
      <c r="AF14" s="20"/>
      <c r="AG14" s="20"/>
      <c r="AH14" s="20"/>
      <c r="AI14" s="20"/>
    </row>
    <row r="15" spans="2:35" ht="20.25" customHeight="1" x14ac:dyDescent="0.25">
      <c r="B15" s="42" t="s">
        <v>72</v>
      </c>
      <c r="C15" s="44">
        <f t="shared" ref="C15:J15" si="8">1-C4</f>
        <v>0.30000000000000004</v>
      </c>
      <c r="D15" s="45">
        <f t="shared" si="8"/>
        <v>0.30000000000000004</v>
      </c>
      <c r="E15" s="45">
        <f t="shared" si="8"/>
        <v>0.5</v>
      </c>
      <c r="F15" s="45">
        <f t="shared" si="8"/>
        <v>0.6</v>
      </c>
      <c r="G15" s="45">
        <f t="shared" ref="G15:H15" si="9">1-G4</f>
        <v>0.19999999999999996</v>
      </c>
      <c r="H15" s="45">
        <f t="shared" si="9"/>
        <v>0.30000000000000004</v>
      </c>
      <c r="I15" s="45">
        <f t="shared" si="8"/>
        <v>0.4</v>
      </c>
      <c r="J15" s="46">
        <f t="shared" si="8"/>
        <v>0.5</v>
      </c>
      <c r="K15" s="43"/>
      <c r="L15" s="30"/>
      <c r="M15" s="30"/>
      <c r="N15" s="30"/>
      <c r="O15" s="30"/>
      <c r="P15" s="30"/>
      <c r="Q15" s="30"/>
      <c r="R15" s="30"/>
      <c r="S15" s="30"/>
      <c r="T15" s="30"/>
      <c r="U15" s="30"/>
      <c r="V15" s="30"/>
      <c r="W15" s="30"/>
      <c r="X15" s="30"/>
      <c r="Y15" s="30"/>
      <c r="Z15" s="30"/>
      <c r="AA15" s="30"/>
      <c r="AB15" s="30"/>
      <c r="AC15" s="13"/>
      <c r="AD15" s="14">
        <f>HLOOKUP($AD$3,$C$3:$J$25,13)</f>
        <v>0.30000000000000004</v>
      </c>
    </row>
    <row r="16" spans="2:35" s="19" customFormat="1" ht="20.25" customHeight="1" x14ac:dyDescent="0.25">
      <c r="B16" s="26" t="s">
        <v>56</v>
      </c>
      <c r="C16" s="27"/>
      <c r="D16" s="27"/>
      <c r="E16" s="27"/>
      <c r="F16" s="27"/>
      <c r="G16" s="27"/>
      <c r="H16" s="27"/>
      <c r="I16" s="27"/>
      <c r="J16" s="27"/>
      <c r="K16" s="36"/>
      <c r="L16" s="33">
        <v>0.3</v>
      </c>
      <c r="M16" s="34">
        <v>0.3</v>
      </c>
      <c r="N16" s="34">
        <v>0.3</v>
      </c>
      <c r="O16" s="34">
        <v>0.3</v>
      </c>
      <c r="P16" s="34">
        <v>0.3</v>
      </c>
      <c r="Q16" s="34">
        <v>0.3</v>
      </c>
      <c r="R16" s="34">
        <v>0.3</v>
      </c>
      <c r="S16" s="35">
        <v>0.3</v>
      </c>
      <c r="T16" s="37"/>
      <c r="U16" s="27"/>
      <c r="V16" s="27"/>
      <c r="W16" s="27"/>
      <c r="X16" s="27"/>
      <c r="Y16" s="27"/>
      <c r="Z16" s="27"/>
      <c r="AA16" s="27"/>
      <c r="AB16" s="27"/>
      <c r="AC16" s="21"/>
      <c r="AD16" s="22">
        <f>HLOOKUP($AD$3,$L$3:$S$25,14)</f>
        <v>0.3</v>
      </c>
      <c r="AF16" s="20"/>
      <c r="AG16" s="20"/>
      <c r="AH16" s="20"/>
      <c r="AI16" s="20"/>
    </row>
    <row r="17" spans="2:35" s="19" customFormat="1" ht="20.25" customHeight="1" x14ac:dyDescent="0.25">
      <c r="B17" s="28" t="s">
        <v>57</v>
      </c>
      <c r="C17" s="29"/>
      <c r="D17" s="29"/>
      <c r="E17" s="29"/>
      <c r="F17" s="29"/>
      <c r="G17" s="29"/>
      <c r="H17" s="29"/>
      <c r="I17" s="29"/>
      <c r="J17" s="29"/>
      <c r="K17" s="29"/>
      <c r="L17" s="29"/>
      <c r="M17" s="29"/>
      <c r="N17" s="29"/>
      <c r="O17" s="29"/>
      <c r="P17" s="29"/>
      <c r="Q17" s="29"/>
      <c r="R17" s="29"/>
      <c r="S17" s="29"/>
      <c r="T17" s="38"/>
      <c r="U17" s="33">
        <v>0.4</v>
      </c>
      <c r="V17" s="34">
        <v>0.4</v>
      </c>
      <c r="W17" s="34">
        <v>0.4</v>
      </c>
      <c r="X17" s="34">
        <v>0.4</v>
      </c>
      <c r="Y17" s="34">
        <v>0.4</v>
      </c>
      <c r="Z17" s="34">
        <v>0.4</v>
      </c>
      <c r="AA17" s="34">
        <v>0.4</v>
      </c>
      <c r="AB17" s="35">
        <v>0.4</v>
      </c>
      <c r="AC17" s="23"/>
      <c r="AD17" s="24">
        <f>HLOOKUP($AD$3,$U$3:$AB$25,15)</f>
        <v>0.4</v>
      </c>
      <c r="AF17" s="20"/>
      <c r="AG17" s="20"/>
      <c r="AH17" s="20"/>
      <c r="AI17" s="20"/>
    </row>
    <row r="18" spans="2:35" s="19" customFormat="1" ht="20.25" customHeight="1" x14ac:dyDescent="0.25">
      <c r="B18" s="28" t="s">
        <v>58</v>
      </c>
      <c r="C18" s="29"/>
      <c r="D18" s="29"/>
      <c r="E18" s="29"/>
      <c r="F18" s="29"/>
      <c r="G18" s="29"/>
      <c r="H18" s="29"/>
      <c r="I18" s="29"/>
      <c r="J18" s="29"/>
      <c r="K18" s="29"/>
      <c r="L18" s="29"/>
      <c r="M18" s="29"/>
      <c r="N18" s="29"/>
      <c r="O18" s="29"/>
      <c r="P18" s="29"/>
      <c r="Q18" s="29"/>
      <c r="R18" s="29"/>
      <c r="S18" s="29"/>
      <c r="T18" s="38"/>
      <c r="U18" s="33">
        <v>0.4</v>
      </c>
      <c r="V18" s="34">
        <v>0.4</v>
      </c>
      <c r="W18" s="34">
        <v>0.4</v>
      </c>
      <c r="X18" s="34">
        <v>0.4</v>
      </c>
      <c r="Y18" s="34">
        <v>0.4</v>
      </c>
      <c r="Z18" s="34">
        <v>0.4</v>
      </c>
      <c r="AA18" s="34">
        <v>0.4</v>
      </c>
      <c r="AB18" s="35">
        <v>0.4</v>
      </c>
      <c r="AC18" s="23"/>
      <c r="AD18" s="24">
        <f>HLOOKUP($AD$3,$U$3:$AB$25,16)</f>
        <v>0.4</v>
      </c>
      <c r="AF18" s="20"/>
      <c r="AG18" s="20"/>
      <c r="AH18" s="20"/>
      <c r="AI18" s="20"/>
    </row>
    <row r="19" spans="2:35" s="19" customFormat="1" ht="20.25" customHeight="1" x14ac:dyDescent="0.25">
      <c r="B19" s="28" t="s">
        <v>59</v>
      </c>
      <c r="C19" s="29"/>
      <c r="D19" s="29"/>
      <c r="E19" s="29"/>
      <c r="F19" s="29"/>
      <c r="G19" s="29"/>
      <c r="H19" s="29"/>
      <c r="I19" s="29"/>
      <c r="J19" s="29"/>
      <c r="K19" s="29"/>
      <c r="L19" s="29"/>
      <c r="M19" s="29"/>
      <c r="N19" s="29"/>
      <c r="O19" s="29"/>
      <c r="P19" s="29"/>
      <c r="Q19" s="29"/>
      <c r="R19" s="29"/>
      <c r="S19" s="29"/>
      <c r="T19" s="38"/>
      <c r="U19" s="39">
        <f t="shared" ref="U19:AB19" si="10">1-(U17+U18)</f>
        <v>0.19999999999999996</v>
      </c>
      <c r="V19" s="40">
        <f t="shared" si="10"/>
        <v>0.19999999999999996</v>
      </c>
      <c r="W19" s="40">
        <f t="shared" si="10"/>
        <v>0.19999999999999996</v>
      </c>
      <c r="X19" s="40">
        <f t="shared" si="10"/>
        <v>0.19999999999999996</v>
      </c>
      <c r="Y19" s="40">
        <f t="shared" ref="Y19:Z19" si="11">1-(Y17+Y18)</f>
        <v>0.19999999999999996</v>
      </c>
      <c r="Z19" s="40">
        <f t="shared" si="11"/>
        <v>0.19999999999999996</v>
      </c>
      <c r="AA19" s="40">
        <f t="shared" si="10"/>
        <v>0.19999999999999996</v>
      </c>
      <c r="AB19" s="41">
        <f t="shared" si="10"/>
        <v>0.19999999999999996</v>
      </c>
      <c r="AC19" s="23"/>
      <c r="AD19" s="24">
        <f>HLOOKUP($AD$3,$U$3:$AB$25,17)</f>
        <v>0.19999999999999996</v>
      </c>
      <c r="AF19" s="20"/>
      <c r="AG19" s="20"/>
      <c r="AH19" s="20"/>
      <c r="AI19" s="20"/>
    </row>
    <row r="20" spans="2:35" s="19" customFormat="1" ht="20.25" customHeight="1" x14ac:dyDescent="0.25">
      <c r="B20" s="26" t="s">
        <v>60</v>
      </c>
      <c r="C20" s="27"/>
      <c r="D20" s="27"/>
      <c r="E20" s="27"/>
      <c r="F20" s="27"/>
      <c r="G20" s="27"/>
      <c r="H20" s="27"/>
      <c r="I20" s="27"/>
      <c r="J20" s="27"/>
      <c r="K20" s="36"/>
      <c r="L20" s="33">
        <v>0.5</v>
      </c>
      <c r="M20" s="34">
        <v>0.5</v>
      </c>
      <c r="N20" s="34">
        <v>0.5</v>
      </c>
      <c r="O20" s="34">
        <v>0.5</v>
      </c>
      <c r="P20" s="34">
        <v>0.5</v>
      </c>
      <c r="Q20" s="34">
        <v>0.5</v>
      </c>
      <c r="R20" s="34">
        <v>0.5</v>
      </c>
      <c r="S20" s="35">
        <v>0.5</v>
      </c>
      <c r="T20" s="37"/>
      <c r="U20" s="27"/>
      <c r="V20" s="27"/>
      <c r="W20" s="27"/>
      <c r="X20" s="27"/>
      <c r="Y20" s="27"/>
      <c r="Z20" s="27"/>
      <c r="AA20" s="27"/>
      <c r="AB20" s="27"/>
      <c r="AC20" s="21"/>
      <c r="AD20" s="22">
        <f>HLOOKUP($AD$3,$L$3:$S$25,18)</f>
        <v>0.5</v>
      </c>
      <c r="AF20" s="20"/>
      <c r="AG20" s="20"/>
      <c r="AH20" s="20"/>
      <c r="AI20" s="20"/>
    </row>
    <row r="21" spans="2:35" s="19" customFormat="1" ht="20.25" customHeight="1" x14ac:dyDescent="0.25">
      <c r="B21" s="28" t="s">
        <v>61</v>
      </c>
      <c r="C21" s="29"/>
      <c r="D21" s="29"/>
      <c r="E21" s="29"/>
      <c r="F21" s="29"/>
      <c r="G21" s="29"/>
      <c r="H21" s="29"/>
      <c r="I21" s="29"/>
      <c r="J21" s="29"/>
      <c r="K21" s="29"/>
      <c r="L21" s="29"/>
      <c r="M21" s="29"/>
      <c r="N21" s="29"/>
      <c r="O21" s="29"/>
      <c r="P21" s="29"/>
      <c r="Q21" s="29"/>
      <c r="R21" s="29"/>
      <c r="S21" s="29"/>
      <c r="T21" s="38"/>
      <c r="U21" s="33">
        <v>0.6</v>
      </c>
      <c r="V21" s="34">
        <v>0.6</v>
      </c>
      <c r="W21" s="34">
        <v>0.6</v>
      </c>
      <c r="X21" s="34">
        <v>0.6</v>
      </c>
      <c r="Y21" s="34">
        <v>0.6</v>
      </c>
      <c r="Z21" s="34">
        <v>0.6</v>
      </c>
      <c r="AA21" s="34">
        <v>0.6</v>
      </c>
      <c r="AB21" s="35">
        <v>0.6</v>
      </c>
      <c r="AC21" s="23"/>
      <c r="AD21" s="24">
        <f>HLOOKUP($AD$3,$U$3:$AB$25,19)</f>
        <v>0.6</v>
      </c>
      <c r="AF21" s="20"/>
      <c r="AG21" s="20"/>
      <c r="AH21" s="20"/>
      <c r="AI21" s="20"/>
    </row>
    <row r="22" spans="2:35" s="19" customFormat="1" ht="20.25" customHeight="1" x14ac:dyDescent="0.25">
      <c r="B22" s="28" t="s">
        <v>62</v>
      </c>
      <c r="C22" s="29"/>
      <c r="D22" s="29"/>
      <c r="E22" s="29"/>
      <c r="F22" s="29"/>
      <c r="G22" s="29"/>
      <c r="H22" s="29"/>
      <c r="I22" s="29"/>
      <c r="J22" s="29"/>
      <c r="K22" s="29"/>
      <c r="L22" s="29"/>
      <c r="M22" s="29"/>
      <c r="N22" s="29"/>
      <c r="O22" s="29"/>
      <c r="P22" s="29"/>
      <c r="Q22" s="29"/>
      <c r="R22" s="29"/>
      <c r="S22" s="29"/>
      <c r="T22" s="38"/>
      <c r="U22" s="39">
        <f t="shared" ref="U22:AB22" si="12">1-U21</f>
        <v>0.4</v>
      </c>
      <c r="V22" s="40">
        <f t="shared" si="12"/>
        <v>0.4</v>
      </c>
      <c r="W22" s="40">
        <f t="shared" si="12"/>
        <v>0.4</v>
      </c>
      <c r="X22" s="40">
        <f t="shared" si="12"/>
        <v>0.4</v>
      </c>
      <c r="Y22" s="40">
        <f t="shared" ref="Y22:Z22" si="13">1-Y21</f>
        <v>0.4</v>
      </c>
      <c r="Z22" s="40">
        <f t="shared" si="13"/>
        <v>0.4</v>
      </c>
      <c r="AA22" s="40">
        <f t="shared" si="12"/>
        <v>0.4</v>
      </c>
      <c r="AB22" s="41">
        <f t="shared" si="12"/>
        <v>0.4</v>
      </c>
      <c r="AC22" s="23"/>
      <c r="AD22" s="24">
        <f>HLOOKUP($AD$3,$U$3:$AB$25,20)</f>
        <v>0.4</v>
      </c>
      <c r="AF22" s="20"/>
      <c r="AG22" s="20"/>
      <c r="AH22" s="20"/>
      <c r="AI22" s="20"/>
    </row>
    <row r="23" spans="2:35" s="19" customFormat="1" ht="20.25" customHeight="1" x14ac:dyDescent="0.25">
      <c r="B23" s="26" t="s">
        <v>63</v>
      </c>
      <c r="C23" s="27"/>
      <c r="D23" s="27"/>
      <c r="E23" s="27"/>
      <c r="F23" s="27"/>
      <c r="G23" s="27"/>
      <c r="H23" s="27"/>
      <c r="I23" s="27"/>
      <c r="J23" s="27"/>
      <c r="K23" s="36"/>
      <c r="L23" s="49">
        <f t="shared" ref="L23:R23" si="14">1-(L16+L20)</f>
        <v>0.19999999999999996</v>
      </c>
      <c r="M23" s="50">
        <f t="shared" si="14"/>
        <v>0.19999999999999996</v>
      </c>
      <c r="N23" s="50">
        <f t="shared" si="14"/>
        <v>0.19999999999999996</v>
      </c>
      <c r="O23" s="50">
        <f t="shared" si="14"/>
        <v>0.19999999999999996</v>
      </c>
      <c r="P23" s="50">
        <f t="shared" ref="P23" si="15">1-(P16+P20)</f>
        <v>0.19999999999999996</v>
      </c>
      <c r="Q23" s="50">
        <f>1-(Q16+Q20)</f>
        <v>0.19999999999999996</v>
      </c>
      <c r="R23" s="50">
        <f t="shared" si="14"/>
        <v>0.19999999999999996</v>
      </c>
      <c r="S23" s="51">
        <f>1-(S16+S20)</f>
        <v>0.19999999999999996</v>
      </c>
      <c r="T23" s="37"/>
      <c r="U23" s="27"/>
      <c r="V23" s="27"/>
      <c r="W23" s="27"/>
      <c r="X23" s="27"/>
      <c r="Y23" s="27"/>
      <c r="Z23" s="27"/>
      <c r="AA23" s="27"/>
      <c r="AB23" s="27"/>
      <c r="AC23" s="21"/>
      <c r="AD23" s="22">
        <f>HLOOKUP($AD$3,$L$3:$S$25,21)</f>
        <v>0.19999999999999996</v>
      </c>
      <c r="AF23" s="20"/>
      <c r="AG23" s="20"/>
      <c r="AH23" s="20"/>
      <c r="AI23" s="20"/>
    </row>
    <row r="24" spans="2:35" s="19" customFormat="1" ht="20.25" customHeight="1" x14ac:dyDescent="0.25">
      <c r="B24" s="28" t="s">
        <v>64</v>
      </c>
      <c r="C24" s="29"/>
      <c r="D24" s="29"/>
      <c r="E24" s="29"/>
      <c r="F24" s="29"/>
      <c r="G24" s="29"/>
      <c r="H24" s="29"/>
      <c r="I24" s="29"/>
      <c r="J24" s="29"/>
      <c r="K24" s="29"/>
      <c r="L24" s="29"/>
      <c r="M24" s="29"/>
      <c r="N24" s="29"/>
      <c r="O24" s="29"/>
      <c r="P24" s="29"/>
      <c r="Q24" s="29"/>
      <c r="R24" s="29"/>
      <c r="S24" s="29"/>
      <c r="T24" s="38"/>
      <c r="U24" s="33">
        <v>0.3</v>
      </c>
      <c r="V24" s="34">
        <v>0.3</v>
      </c>
      <c r="W24" s="34">
        <v>0.3</v>
      </c>
      <c r="X24" s="34">
        <v>0.3</v>
      </c>
      <c r="Y24" s="34">
        <v>0.3</v>
      </c>
      <c r="Z24" s="34">
        <v>0.3</v>
      </c>
      <c r="AA24" s="34">
        <v>0.3</v>
      </c>
      <c r="AB24" s="35">
        <v>0.3</v>
      </c>
      <c r="AC24" s="23"/>
      <c r="AD24" s="24">
        <f>HLOOKUP($AD$3,$U$3:$AB$25,22)</f>
        <v>0.3</v>
      </c>
      <c r="AF24" s="20"/>
      <c r="AG24" s="20"/>
      <c r="AH24" s="20"/>
      <c r="AI24" s="20"/>
    </row>
    <row r="25" spans="2:35" s="19" customFormat="1" ht="20.25" customHeight="1" thickBot="1" x14ac:dyDescent="0.3">
      <c r="B25" s="28" t="s">
        <v>65</v>
      </c>
      <c r="C25" s="29"/>
      <c r="D25" s="29"/>
      <c r="E25" s="29"/>
      <c r="F25" s="29"/>
      <c r="G25" s="29"/>
      <c r="H25" s="29"/>
      <c r="I25" s="29"/>
      <c r="J25" s="29"/>
      <c r="K25" s="29"/>
      <c r="L25" s="29"/>
      <c r="M25" s="29"/>
      <c r="N25" s="29"/>
      <c r="O25" s="29"/>
      <c r="P25" s="29"/>
      <c r="Q25" s="29"/>
      <c r="R25" s="29"/>
      <c r="S25" s="29"/>
      <c r="T25" s="38"/>
      <c r="U25" s="39">
        <f>1-U24</f>
        <v>0.7</v>
      </c>
      <c r="V25" s="40">
        <f t="shared" ref="V25:AB25" si="16">1-V24</f>
        <v>0.7</v>
      </c>
      <c r="W25" s="40">
        <f t="shared" si="16"/>
        <v>0.7</v>
      </c>
      <c r="X25" s="40">
        <f t="shared" si="16"/>
        <v>0.7</v>
      </c>
      <c r="Y25" s="40">
        <f t="shared" ref="Y25:Z25" si="17">1-Y24</f>
        <v>0.7</v>
      </c>
      <c r="Z25" s="40">
        <f t="shared" si="17"/>
        <v>0.7</v>
      </c>
      <c r="AA25" s="40">
        <f t="shared" si="16"/>
        <v>0.7</v>
      </c>
      <c r="AB25" s="41">
        <f t="shared" si="16"/>
        <v>0.7</v>
      </c>
      <c r="AC25" s="23"/>
      <c r="AD25" s="47">
        <f>HLOOKUP($AD$3,$U$3:$AB$25,23)</f>
        <v>0.7</v>
      </c>
      <c r="AF25" s="20"/>
      <c r="AG25" s="20"/>
      <c r="AH25" s="20"/>
      <c r="AI25" s="20"/>
    </row>
    <row r="26" spans="2:35" ht="20.25" customHeight="1" x14ac:dyDescent="0.25">
      <c r="B26" s="15"/>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227" t="s">
        <v>1</v>
      </c>
    </row>
  </sheetData>
  <sheetProtection algorithmName="SHA-512" hashValue="jYp3MBjs6Ftf0cn+52oBCXs8UlFJYu5LvgwRoU4hb0ATC/cCmVBd5NuXkDU7EaLCngJAopLOTIvqFsiawg0Few==" saltValue="b4ZfJcBZ4MGFIFMMFjyOYw==" spinCount="100000" sheet="1" objects="1" scenarios="1"/>
  <mergeCells count="3">
    <mergeCell ref="C2:J2"/>
    <mergeCell ref="L2:S2"/>
    <mergeCell ref="U2:AB2"/>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3950D-DFCB-47FE-9AD5-1FEC211055EB}">
  <dimension ref="A1:AC27"/>
  <sheetViews>
    <sheetView showGridLines="0" showRowColHeaders="0" workbookViewId="0">
      <pane xSplit="2" topLeftCell="C1" activePane="topRight" state="frozen"/>
      <selection activeCell="A5" sqref="A5"/>
      <selection pane="topRight" activeCell="A3" sqref="A3"/>
    </sheetView>
  </sheetViews>
  <sheetFormatPr defaultColWidth="9.09765625" defaultRowHeight="10.199999999999999" x14ac:dyDescent="0.25"/>
  <cols>
    <col min="1" max="1" width="4.3984375" style="258" customWidth="1"/>
    <col min="2" max="2" width="7.296875" style="265" customWidth="1"/>
    <col min="3" max="3" width="14.8984375" style="265" customWidth="1"/>
    <col min="4" max="4" width="9" style="260" customWidth="1"/>
    <col min="5" max="5" width="12.3984375" style="260" customWidth="1"/>
    <col min="6" max="6" width="32.296875" style="258" customWidth="1"/>
    <col min="7" max="7" width="22.3984375" style="258" customWidth="1"/>
    <col min="8" max="14" width="8.59765625" style="261" customWidth="1"/>
    <col min="15" max="15" width="1.296875" style="261" customWidth="1"/>
    <col min="16" max="19" width="15.8984375" style="261" customWidth="1"/>
    <col min="20" max="20" width="49.3984375" style="260" customWidth="1"/>
    <col min="21" max="21" width="34.296875" style="260" customWidth="1"/>
    <col min="22" max="22" width="1.296875" style="261" customWidth="1"/>
    <col min="23" max="23" width="7.3984375" style="315" bestFit="1" customWidth="1"/>
    <col min="24" max="24" width="12.8984375" style="315" customWidth="1"/>
    <col min="25" max="25" width="19.296875" style="318" customWidth="1"/>
    <col min="26" max="26" width="7" style="315" bestFit="1" customWidth="1"/>
    <col min="27" max="27" width="1.296875" style="261" customWidth="1"/>
    <col min="28" max="28" width="15.8984375" style="259" bestFit="1" customWidth="1"/>
    <col min="29" max="29" width="15.296875" style="258" bestFit="1" customWidth="1"/>
    <col min="30" max="16384" width="9.09765625" style="258"/>
  </cols>
  <sheetData>
    <row r="1" spans="1:29" s="262" customFormat="1" x14ac:dyDescent="0.25">
      <c r="A1" s="353" t="s">
        <v>330</v>
      </c>
      <c r="B1" s="354"/>
      <c r="C1" s="354"/>
      <c r="D1" s="354"/>
      <c r="E1" s="354"/>
      <c r="F1" s="305"/>
      <c r="G1" s="306"/>
      <c r="H1" s="357" t="s">
        <v>73</v>
      </c>
      <c r="I1" s="358"/>
      <c r="J1" s="359"/>
      <c r="K1" s="357" t="s">
        <v>74</v>
      </c>
      <c r="L1" s="359"/>
      <c r="M1" s="357" t="s">
        <v>332</v>
      </c>
      <c r="N1" s="359"/>
      <c r="O1" s="371"/>
      <c r="P1" s="349" t="s">
        <v>333</v>
      </c>
      <c r="Q1" s="363"/>
      <c r="R1" s="363"/>
      <c r="S1" s="350"/>
      <c r="T1" s="367" t="s">
        <v>291</v>
      </c>
      <c r="U1" s="368"/>
      <c r="V1" s="373"/>
      <c r="W1" s="349" t="s">
        <v>334</v>
      </c>
      <c r="X1" s="363"/>
      <c r="Y1" s="363"/>
      <c r="Z1" s="350"/>
      <c r="AA1" s="309"/>
      <c r="AB1" s="349" t="s">
        <v>293</v>
      </c>
      <c r="AC1" s="350"/>
    </row>
    <row r="2" spans="1:29" s="264" customFormat="1" ht="10.8" thickBot="1" x14ac:dyDescent="0.3">
      <c r="A2" s="355"/>
      <c r="B2" s="356"/>
      <c r="C2" s="356"/>
      <c r="D2" s="356"/>
      <c r="E2" s="356"/>
      <c r="F2" s="307"/>
      <c r="G2" s="308" t="s">
        <v>326</v>
      </c>
      <c r="H2" s="360"/>
      <c r="I2" s="361"/>
      <c r="J2" s="362"/>
      <c r="K2" s="360"/>
      <c r="L2" s="362"/>
      <c r="M2" s="360"/>
      <c r="N2" s="362"/>
      <c r="O2" s="371"/>
      <c r="P2" s="364"/>
      <c r="Q2" s="365"/>
      <c r="R2" s="365"/>
      <c r="S2" s="366"/>
      <c r="T2" s="369"/>
      <c r="U2" s="370"/>
      <c r="V2" s="373"/>
      <c r="W2" s="374"/>
      <c r="X2" s="375"/>
      <c r="Y2" s="375"/>
      <c r="Z2" s="376"/>
      <c r="AA2" s="263"/>
      <c r="AB2" s="351"/>
      <c r="AC2" s="352"/>
    </row>
    <row r="3" spans="1:29" s="271" customFormat="1" ht="74.400000000000006" x14ac:dyDescent="0.25">
      <c r="A3" s="282"/>
      <c r="B3" s="283" t="s">
        <v>21</v>
      </c>
      <c r="C3" s="284" t="s">
        <v>75</v>
      </c>
      <c r="D3" s="266" t="s">
        <v>76</v>
      </c>
      <c r="E3" s="272" t="s">
        <v>77</v>
      </c>
      <c r="F3" s="266" t="s">
        <v>78</v>
      </c>
      <c r="G3" s="272" t="s">
        <v>79</v>
      </c>
      <c r="H3" s="273" t="s">
        <v>80</v>
      </c>
      <c r="I3" s="275" t="s">
        <v>81</v>
      </c>
      <c r="J3" s="274" t="s">
        <v>82</v>
      </c>
      <c r="K3" s="273" t="s">
        <v>83</v>
      </c>
      <c r="L3" s="274" t="s">
        <v>84</v>
      </c>
      <c r="M3" s="273" t="s">
        <v>331</v>
      </c>
      <c r="N3" s="274" t="s">
        <v>325</v>
      </c>
      <c r="O3" s="372"/>
      <c r="P3" s="312" t="s">
        <v>85</v>
      </c>
      <c r="Q3" s="313" t="s">
        <v>86</v>
      </c>
      <c r="R3" s="313" t="s">
        <v>87</v>
      </c>
      <c r="S3" s="314" t="s">
        <v>290</v>
      </c>
      <c r="T3" s="310" t="s">
        <v>291</v>
      </c>
      <c r="U3" s="311" t="s">
        <v>315</v>
      </c>
      <c r="V3" s="373"/>
      <c r="W3" s="267" t="s">
        <v>292</v>
      </c>
      <c r="X3" s="268" t="s">
        <v>88</v>
      </c>
      <c r="Y3" s="270" t="s">
        <v>89</v>
      </c>
      <c r="Z3" s="269" t="s">
        <v>79</v>
      </c>
      <c r="AA3" s="304"/>
      <c r="AB3" s="316" t="s">
        <v>335</v>
      </c>
      <c r="AC3" s="317" t="s">
        <v>336</v>
      </c>
    </row>
    <row r="4" spans="1:29" ht="102" x14ac:dyDescent="0.25">
      <c r="A4" s="285" t="s">
        <v>327</v>
      </c>
      <c r="B4" s="286" t="s">
        <v>90</v>
      </c>
      <c r="C4" s="287" t="s">
        <v>268</v>
      </c>
      <c r="D4" s="228" t="s">
        <v>91</v>
      </c>
      <c r="E4" s="228" t="s">
        <v>92</v>
      </c>
      <c r="F4" s="228" t="s">
        <v>269</v>
      </c>
      <c r="G4" s="228" t="s">
        <v>270</v>
      </c>
      <c r="H4" s="276"/>
      <c r="I4" s="277">
        <v>1</v>
      </c>
      <c r="J4" s="278">
        <v>1</v>
      </c>
      <c r="K4" s="276">
        <v>1</v>
      </c>
      <c r="L4" s="278">
        <v>1</v>
      </c>
      <c r="M4" s="276">
        <v>1</v>
      </c>
      <c r="N4" s="278">
        <v>1</v>
      </c>
      <c r="O4" s="257"/>
      <c r="P4" s="229" t="s">
        <v>271</v>
      </c>
      <c r="Q4" s="230" t="s">
        <v>272</v>
      </c>
      <c r="R4" s="230" t="s">
        <v>273</v>
      </c>
      <c r="S4" s="231" t="s">
        <v>274</v>
      </c>
      <c r="T4" s="291" t="s">
        <v>289</v>
      </c>
      <c r="U4" s="292" t="s">
        <v>316</v>
      </c>
      <c r="V4" s="257"/>
      <c r="W4" s="229" t="s">
        <v>93</v>
      </c>
      <c r="X4" s="230" t="s">
        <v>94</v>
      </c>
      <c r="Y4" s="232"/>
      <c r="Z4" s="231">
        <v>3</v>
      </c>
      <c r="AA4" s="257"/>
    </row>
    <row r="5" spans="1:29" ht="102" x14ac:dyDescent="0.25">
      <c r="A5" s="288" t="s">
        <v>328</v>
      </c>
      <c r="B5" s="289" t="s">
        <v>95</v>
      </c>
      <c r="C5" s="290" t="s">
        <v>275</v>
      </c>
      <c r="D5" s="233" t="s">
        <v>91</v>
      </c>
      <c r="E5" s="233" t="s">
        <v>96</v>
      </c>
      <c r="F5" s="233" t="s">
        <v>281</v>
      </c>
      <c r="G5" s="233" t="s">
        <v>276</v>
      </c>
      <c r="H5" s="279"/>
      <c r="I5" s="280">
        <v>1</v>
      </c>
      <c r="J5" s="281">
        <v>1</v>
      </c>
      <c r="K5" s="279">
        <v>1</v>
      </c>
      <c r="L5" s="281">
        <v>1</v>
      </c>
      <c r="M5" s="279">
        <v>1</v>
      </c>
      <c r="N5" s="281">
        <v>1</v>
      </c>
      <c r="O5" s="257"/>
      <c r="P5" s="234" t="s">
        <v>277</v>
      </c>
      <c r="Q5" s="235" t="s">
        <v>278</v>
      </c>
      <c r="R5" s="235" t="s">
        <v>279</v>
      </c>
      <c r="S5" s="236" t="s">
        <v>280</v>
      </c>
      <c r="T5" s="293" t="s">
        <v>294</v>
      </c>
      <c r="U5" s="294" t="s">
        <v>317</v>
      </c>
      <c r="V5" s="257"/>
      <c r="W5" s="234" t="s">
        <v>93</v>
      </c>
      <c r="X5" s="235"/>
      <c r="Y5" s="237"/>
      <c r="Z5" s="236">
        <v>3</v>
      </c>
      <c r="AA5" s="257"/>
    </row>
    <row r="6" spans="1:29" ht="81.599999999999994" x14ac:dyDescent="0.25">
      <c r="A6" s="288">
        <v>2</v>
      </c>
      <c r="B6" s="289" t="s">
        <v>97</v>
      </c>
      <c r="C6" s="290" t="s">
        <v>282</v>
      </c>
      <c r="D6" s="233" t="s">
        <v>91</v>
      </c>
      <c r="E6" s="233" t="s">
        <v>98</v>
      </c>
      <c r="F6" s="233" t="s">
        <v>99</v>
      </c>
      <c r="G6" s="233" t="s">
        <v>100</v>
      </c>
      <c r="H6" s="279"/>
      <c r="I6" s="280">
        <v>1</v>
      </c>
      <c r="J6" s="281"/>
      <c r="K6" s="279">
        <v>1</v>
      </c>
      <c r="L6" s="281">
        <v>1</v>
      </c>
      <c r="M6" s="279">
        <v>1</v>
      </c>
      <c r="N6" s="281">
        <v>1</v>
      </c>
      <c r="O6" s="257"/>
      <c r="P6" s="238" t="s">
        <v>101</v>
      </c>
      <c r="Q6" s="239" t="s">
        <v>102</v>
      </c>
      <c r="R6" s="239" t="s">
        <v>103</v>
      </c>
      <c r="S6" s="240" t="s">
        <v>104</v>
      </c>
      <c r="T6" s="291" t="s">
        <v>295</v>
      </c>
      <c r="U6" s="292"/>
      <c r="V6" s="257"/>
      <c r="W6" s="238" t="s">
        <v>105</v>
      </c>
      <c r="X6" s="239"/>
      <c r="Y6" s="241"/>
      <c r="Z6" s="240">
        <v>3</v>
      </c>
      <c r="AA6" s="257"/>
    </row>
    <row r="7" spans="1:29" ht="81.599999999999994" x14ac:dyDescent="0.25">
      <c r="A7" s="288">
        <v>2</v>
      </c>
      <c r="B7" s="289" t="s">
        <v>106</v>
      </c>
      <c r="C7" s="290" t="s">
        <v>283</v>
      </c>
      <c r="D7" s="233" t="s">
        <v>91</v>
      </c>
      <c r="E7" s="233" t="s">
        <v>98</v>
      </c>
      <c r="F7" s="233" t="s">
        <v>285</v>
      </c>
      <c r="G7" s="233" t="s">
        <v>284</v>
      </c>
      <c r="H7" s="279"/>
      <c r="I7" s="280">
        <v>1</v>
      </c>
      <c r="J7" s="281"/>
      <c r="K7" s="279">
        <v>1</v>
      </c>
      <c r="L7" s="281">
        <v>1</v>
      </c>
      <c r="M7" s="279">
        <v>1</v>
      </c>
      <c r="N7" s="281">
        <v>1</v>
      </c>
      <c r="O7" s="257"/>
      <c r="P7" s="238" t="s">
        <v>101</v>
      </c>
      <c r="Q7" s="239" t="s">
        <v>286</v>
      </c>
      <c r="R7" s="239" t="s">
        <v>287</v>
      </c>
      <c r="S7" s="240" t="s">
        <v>288</v>
      </c>
      <c r="T7" s="291" t="s">
        <v>296</v>
      </c>
      <c r="U7" s="292"/>
      <c r="V7" s="257"/>
      <c r="W7" s="238" t="s">
        <v>105</v>
      </c>
      <c r="X7" s="239"/>
      <c r="Y7" s="241"/>
      <c r="Z7" s="240">
        <v>3</v>
      </c>
      <c r="AA7" s="257"/>
    </row>
    <row r="8" spans="1:29" ht="81.599999999999994" x14ac:dyDescent="0.25">
      <c r="A8" s="288">
        <v>3</v>
      </c>
      <c r="B8" s="289" t="s">
        <v>107</v>
      </c>
      <c r="C8" s="290" t="s">
        <v>108</v>
      </c>
      <c r="D8" s="233" t="s">
        <v>91</v>
      </c>
      <c r="E8" s="233" t="s">
        <v>98</v>
      </c>
      <c r="F8" s="233" t="s">
        <v>357</v>
      </c>
      <c r="G8" s="233" t="s">
        <v>109</v>
      </c>
      <c r="H8" s="279"/>
      <c r="I8" s="280"/>
      <c r="J8" s="281"/>
      <c r="K8" s="279">
        <v>1</v>
      </c>
      <c r="L8" s="281">
        <v>1</v>
      </c>
      <c r="M8" s="279">
        <v>1</v>
      </c>
      <c r="N8" s="281">
        <v>1</v>
      </c>
      <c r="O8" s="257"/>
      <c r="P8" s="242" t="s">
        <v>110</v>
      </c>
      <c r="Q8" s="243" t="s">
        <v>111</v>
      </c>
      <c r="R8" s="243" t="s">
        <v>112</v>
      </c>
      <c r="S8" s="244" t="s">
        <v>113</v>
      </c>
      <c r="T8" s="295" t="s">
        <v>297</v>
      </c>
      <c r="U8" s="296"/>
      <c r="V8" s="257"/>
      <c r="W8" s="242" t="s">
        <v>114</v>
      </c>
      <c r="X8" s="243"/>
      <c r="Y8" s="245" t="s">
        <v>115</v>
      </c>
      <c r="Z8" s="244">
        <v>0</v>
      </c>
      <c r="AA8" s="257"/>
    </row>
    <row r="9" spans="1:29" ht="71.400000000000006" x14ac:dyDescent="0.25">
      <c r="A9" s="288">
        <v>4</v>
      </c>
      <c r="B9" s="289" t="s">
        <v>116</v>
      </c>
      <c r="C9" s="290" t="s">
        <v>117</v>
      </c>
      <c r="D9" s="233" t="s">
        <v>91</v>
      </c>
      <c r="E9" s="233" t="s">
        <v>98</v>
      </c>
      <c r="F9" s="233" t="s">
        <v>118</v>
      </c>
      <c r="G9" s="233" t="s">
        <v>119</v>
      </c>
      <c r="H9" s="279">
        <v>1</v>
      </c>
      <c r="I9" s="280"/>
      <c r="J9" s="281"/>
      <c r="K9" s="279"/>
      <c r="L9" s="281"/>
      <c r="M9" s="279"/>
      <c r="N9" s="281"/>
      <c r="O9" s="257"/>
      <c r="P9" s="238" t="s">
        <v>120</v>
      </c>
      <c r="Q9" s="246" t="s">
        <v>121</v>
      </c>
      <c r="R9" s="246" t="s">
        <v>122</v>
      </c>
      <c r="S9" s="247" t="s">
        <v>123</v>
      </c>
      <c r="T9" s="297" t="s">
        <v>300</v>
      </c>
      <c r="U9" s="298" t="s">
        <v>318</v>
      </c>
      <c r="V9" s="257"/>
      <c r="W9" s="238" t="s">
        <v>124</v>
      </c>
      <c r="X9" s="246"/>
      <c r="Y9" s="248"/>
      <c r="Z9" s="247">
        <v>2</v>
      </c>
      <c r="AA9" s="257"/>
    </row>
    <row r="10" spans="1:29" ht="61.2" x14ac:dyDescent="0.25">
      <c r="A10" s="288" t="s">
        <v>329</v>
      </c>
      <c r="B10" s="289" t="s">
        <v>125</v>
      </c>
      <c r="C10" s="290" t="s">
        <v>126</v>
      </c>
      <c r="D10" s="233" t="s">
        <v>91</v>
      </c>
      <c r="E10" s="233" t="s">
        <v>98</v>
      </c>
      <c r="F10" s="233" t="s">
        <v>127</v>
      </c>
      <c r="G10" s="233" t="s">
        <v>128</v>
      </c>
      <c r="H10" s="279">
        <v>1</v>
      </c>
      <c r="I10" s="280"/>
      <c r="J10" s="281"/>
      <c r="K10" s="279"/>
      <c r="L10" s="281"/>
      <c r="M10" s="279"/>
      <c r="N10" s="281"/>
      <c r="O10" s="257"/>
      <c r="P10" s="242" t="s">
        <v>129</v>
      </c>
      <c r="Q10" s="246" t="s">
        <v>130</v>
      </c>
      <c r="R10" s="246" t="s">
        <v>131</v>
      </c>
      <c r="S10" s="247" t="s">
        <v>132</v>
      </c>
      <c r="T10" s="297" t="s">
        <v>298</v>
      </c>
      <c r="U10" s="298" t="s">
        <v>319</v>
      </c>
      <c r="V10" s="257"/>
      <c r="W10" s="242" t="s">
        <v>133</v>
      </c>
      <c r="X10" s="246" t="s">
        <v>134</v>
      </c>
      <c r="Y10" s="248"/>
      <c r="Z10" s="247">
        <v>1</v>
      </c>
      <c r="AA10" s="257"/>
    </row>
    <row r="11" spans="1:29" ht="61.2" x14ac:dyDescent="0.25">
      <c r="A11" s="288">
        <v>6</v>
      </c>
      <c r="B11" s="289" t="s">
        <v>135</v>
      </c>
      <c r="C11" s="290" t="s">
        <v>136</v>
      </c>
      <c r="D11" s="233" t="s">
        <v>91</v>
      </c>
      <c r="E11" s="233" t="s">
        <v>98</v>
      </c>
      <c r="F11" s="233" t="s">
        <v>137</v>
      </c>
      <c r="G11" s="233" t="s">
        <v>138</v>
      </c>
      <c r="H11" s="279">
        <v>1</v>
      </c>
      <c r="I11" s="280">
        <v>1</v>
      </c>
      <c r="J11" s="281"/>
      <c r="K11" s="279">
        <v>1</v>
      </c>
      <c r="L11" s="281">
        <v>1</v>
      </c>
      <c r="M11" s="279">
        <v>1</v>
      </c>
      <c r="N11" s="281"/>
      <c r="O11" s="257"/>
      <c r="P11" s="238" t="s">
        <v>139</v>
      </c>
      <c r="Q11" s="239" t="s">
        <v>140</v>
      </c>
      <c r="R11" s="239" t="s">
        <v>141</v>
      </c>
      <c r="S11" s="240" t="s">
        <v>142</v>
      </c>
      <c r="T11" s="291" t="s">
        <v>299</v>
      </c>
      <c r="U11" s="292" t="s">
        <v>321</v>
      </c>
      <c r="V11" s="257"/>
      <c r="W11" s="238" t="s">
        <v>124</v>
      </c>
      <c r="X11" s="239"/>
      <c r="Y11" s="241" t="s">
        <v>143</v>
      </c>
      <c r="Z11" s="240">
        <v>3</v>
      </c>
      <c r="AA11" s="257"/>
    </row>
    <row r="12" spans="1:29" ht="81.599999999999994" x14ac:dyDescent="0.25">
      <c r="A12" s="288">
        <v>7</v>
      </c>
      <c r="B12" s="289" t="s">
        <v>144</v>
      </c>
      <c r="C12" s="290" t="s">
        <v>145</v>
      </c>
      <c r="D12" s="233" t="s">
        <v>91</v>
      </c>
      <c r="E12" s="233" t="s">
        <v>98</v>
      </c>
      <c r="F12" s="233" t="s">
        <v>146</v>
      </c>
      <c r="G12" s="233" t="s">
        <v>147</v>
      </c>
      <c r="H12" s="279"/>
      <c r="I12" s="280"/>
      <c r="J12" s="281">
        <v>1</v>
      </c>
      <c r="K12" s="279">
        <v>1</v>
      </c>
      <c r="L12" s="281">
        <v>1</v>
      </c>
      <c r="M12" s="279"/>
      <c r="N12" s="281">
        <v>1</v>
      </c>
      <c r="O12" s="257"/>
      <c r="P12" s="238" t="s">
        <v>148</v>
      </c>
      <c r="Q12" s="239" t="s">
        <v>149</v>
      </c>
      <c r="R12" s="239" t="s">
        <v>150</v>
      </c>
      <c r="S12" s="240" t="s">
        <v>151</v>
      </c>
      <c r="T12" s="291" t="s">
        <v>337</v>
      </c>
      <c r="U12" s="292"/>
      <c r="V12" s="257"/>
      <c r="W12" s="238" t="s">
        <v>105</v>
      </c>
      <c r="X12" s="239"/>
      <c r="Y12" s="241" t="s">
        <v>152</v>
      </c>
      <c r="Z12" s="240">
        <v>3</v>
      </c>
      <c r="AA12" s="257"/>
    </row>
    <row r="13" spans="1:29" ht="71.400000000000006" x14ac:dyDescent="0.25">
      <c r="A13" s="288">
        <v>9</v>
      </c>
      <c r="B13" s="289" t="s">
        <v>153</v>
      </c>
      <c r="C13" s="290" t="s">
        <v>154</v>
      </c>
      <c r="D13" s="233" t="s">
        <v>91</v>
      </c>
      <c r="E13" s="233" t="s">
        <v>98</v>
      </c>
      <c r="F13" s="233" t="s">
        <v>155</v>
      </c>
      <c r="G13" s="233" t="s">
        <v>156</v>
      </c>
      <c r="H13" s="279"/>
      <c r="I13" s="280">
        <v>1</v>
      </c>
      <c r="J13" s="281">
        <v>1</v>
      </c>
      <c r="K13" s="279">
        <v>1</v>
      </c>
      <c r="L13" s="281">
        <v>1</v>
      </c>
      <c r="M13" s="279">
        <v>1</v>
      </c>
      <c r="N13" s="281"/>
      <c r="O13" s="257"/>
      <c r="P13" s="234" t="s">
        <v>157</v>
      </c>
      <c r="Q13" s="235" t="s">
        <v>158</v>
      </c>
      <c r="R13" s="235" t="s">
        <v>159</v>
      </c>
      <c r="S13" s="236" t="s">
        <v>160</v>
      </c>
      <c r="T13" s="293" t="s">
        <v>301</v>
      </c>
      <c r="U13" s="294"/>
      <c r="V13" s="257"/>
      <c r="W13" s="234" t="s">
        <v>124</v>
      </c>
      <c r="X13" s="235"/>
      <c r="Y13" s="237" t="s">
        <v>161</v>
      </c>
      <c r="Z13" s="236"/>
      <c r="AA13" s="257"/>
    </row>
    <row r="14" spans="1:29" ht="102" x14ac:dyDescent="0.25">
      <c r="A14" s="288">
        <v>10</v>
      </c>
      <c r="B14" s="289" t="s">
        <v>162</v>
      </c>
      <c r="C14" s="290" t="s">
        <v>163</v>
      </c>
      <c r="D14" s="233" t="s">
        <v>91</v>
      </c>
      <c r="E14" s="233" t="s">
        <v>98</v>
      </c>
      <c r="F14" s="233" t="s">
        <v>164</v>
      </c>
      <c r="G14" s="233" t="s">
        <v>338</v>
      </c>
      <c r="H14" s="279"/>
      <c r="I14" s="280"/>
      <c r="J14" s="281"/>
      <c r="K14" s="279">
        <v>1</v>
      </c>
      <c r="L14" s="281"/>
      <c r="M14" s="279"/>
      <c r="N14" s="281"/>
      <c r="O14" s="257"/>
      <c r="P14" s="238" t="s">
        <v>165</v>
      </c>
      <c r="Q14" s="239" t="s">
        <v>166</v>
      </c>
      <c r="R14" s="239" t="s">
        <v>167</v>
      </c>
      <c r="S14" s="240" t="s">
        <v>168</v>
      </c>
      <c r="T14" s="291" t="s">
        <v>302</v>
      </c>
      <c r="U14" s="292"/>
      <c r="V14" s="257"/>
      <c r="W14" s="238" t="s">
        <v>93</v>
      </c>
      <c r="X14" s="239"/>
      <c r="Y14" s="241" t="s">
        <v>169</v>
      </c>
      <c r="Z14" s="240">
        <v>1</v>
      </c>
      <c r="AA14" s="257"/>
    </row>
    <row r="15" spans="1:29" ht="71.400000000000006" x14ac:dyDescent="0.25">
      <c r="A15" s="288">
        <v>11</v>
      </c>
      <c r="B15" s="289" t="s">
        <v>170</v>
      </c>
      <c r="C15" s="290" t="s">
        <v>171</v>
      </c>
      <c r="D15" s="233" t="s">
        <v>91</v>
      </c>
      <c r="E15" s="233" t="s">
        <v>98</v>
      </c>
      <c r="F15" s="233" t="s">
        <v>172</v>
      </c>
      <c r="G15" s="233" t="s">
        <v>173</v>
      </c>
      <c r="H15" s="279"/>
      <c r="I15" s="280"/>
      <c r="J15" s="281"/>
      <c r="K15" s="279">
        <v>1</v>
      </c>
      <c r="L15" s="281"/>
      <c r="M15" s="279"/>
      <c r="N15" s="281">
        <v>1</v>
      </c>
      <c r="O15" s="257"/>
      <c r="P15" s="238" t="s">
        <v>174</v>
      </c>
      <c r="Q15" s="239" t="s">
        <v>175</v>
      </c>
      <c r="R15" s="239" t="s">
        <v>176</v>
      </c>
      <c r="S15" s="240" t="s">
        <v>177</v>
      </c>
      <c r="T15" s="291" t="s">
        <v>303</v>
      </c>
      <c r="U15" s="292"/>
      <c r="V15" s="257"/>
      <c r="W15" s="238" t="s">
        <v>105</v>
      </c>
      <c r="X15" s="239"/>
      <c r="Y15" s="241" t="s">
        <v>178</v>
      </c>
      <c r="Z15" s="240">
        <v>1</v>
      </c>
      <c r="AA15" s="257"/>
    </row>
    <row r="16" spans="1:29" ht="165.75" customHeight="1" x14ac:dyDescent="0.25">
      <c r="A16" s="288">
        <v>12</v>
      </c>
      <c r="B16" s="289" t="s">
        <v>179</v>
      </c>
      <c r="C16" s="290" t="s">
        <v>180</v>
      </c>
      <c r="D16" s="233" t="s">
        <v>91</v>
      </c>
      <c r="E16" s="233" t="s">
        <v>98</v>
      </c>
      <c r="F16" s="233" t="s">
        <v>339</v>
      </c>
      <c r="G16" s="233" t="s">
        <v>181</v>
      </c>
      <c r="H16" s="279"/>
      <c r="I16" s="280">
        <v>1</v>
      </c>
      <c r="J16" s="281"/>
      <c r="K16" s="279"/>
      <c r="L16" s="281"/>
      <c r="M16" s="279"/>
      <c r="N16" s="281"/>
      <c r="O16" s="257"/>
      <c r="P16" s="234" t="s">
        <v>182</v>
      </c>
      <c r="Q16" s="235" t="s">
        <v>183</v>
      </c>
      <c r="R16" s="235" t="s">
        <v>184</v>
      </c>
      <c r="S16" s="236" t="s">
        <v>185</v>
      </c>
      <c r="T16" s="293" t="s">
        <v>304</v>
      </c>
      <c r="U16" s="294"/>
      <c r="V16" s="257"/>
      <c r="W16" s="234" t="s">
        <v>186</v>
      </c>
      <c r="X16" s="235"/>
      <c r="Y16" s="237" t="s">
        <v>187</v>
      </c>
      <c r="Z16" s="236"/>
      <c r="AA16" s="257"/>
    </row>
    <row r="17" spans="1:27" ht="51" x14ac:dyDescent="0.25">
      <c r="A17" s="288">
        <v>13</v>
      </c>
      <c r="B17" s="289" t="s">
        <v>188</v>
      </c>
      <c r="C17" s="290" t="s">
        <v>189</v>
      </c>
      <c r="D17" s="233" t="s">
        <v>91</v>
      </c>
      <c r="E17" s="233" t="s">
        <v>98</v>
      </c>
      <c r="F17" s="233" t="s">
        <v>190</v>
      </c>
      <c r="G17" s="233" t="s">
        <v>191</v>
      </c>
      <c r="H17" s="279"/>
      <c r="I17" s="280">
        <v>1</v>
      </c>
      <c r="J17" s="281"/>
      <c r="K17" s="279">
        <v>1</v>
      </c>
      <c r="L17" s="281"/>
      <c r="M17" s="279">
        <v>1</v>
      </c>
      <c r="N17" s="281"/>
      <c r="O17" s="257"/>
      <c r="P17" s="238" t="s">
        <v>192</v>
      </c>
      <c r="Q17" s="239" t="s">
        <v>193</v>
      </c>
      <c r="R17" s="239" t="s">
        <v>194</v>
      </c>
      <c r="S17" s="240" t="s">
        <v>195</v>
      </c>
      <c r="T17" s="291" t="s">
        <v>305</v>
      </c>
      <c r="U17" s="292"/>
      <c r="V17" s="257"/>
      <c r="W17" s="238" t="s">
        <v>196</v>
      </c>
      <c r="X17" s="239"/>
      <c r="Y17" s="241"/>
      <c r="Z17" s="240">
        <v>0</v>
      </c>
      <c r="AA17" s="257"/>
    </row>
    <row r="18" spans="1:27" ht="81.599999999999994" x14ac:dyDescent="0.25">
      <c r="A18" s="288">
        <v>14</v>
      </c>
      <c r="B18" s="289" t="s">
        <v>197</v>
      </c>
      <c r="C18" s="290" t="s">
        <v>198</v>
      </c>
      <c r="D18" s="233" t="s">
        <v>91</v>
      </c>
      <c r="E18" s="233" t="s">
        <v>98</v>
      </c>
      <c r="F18" s="233" t="s">
        <v>199</v>
      </c>
      <c r="G18" s="233" t="s">
        <v>200</v>
      </c>
      <c r="H18" s="279"/>
      <c r="I18" s="280"/>
      <c r="J18" s="281"/>
      <c r="K18" s="279">
        <v>1</v>
      </c>
      <c r="L18" s="281"/>
      <c r="M18" s="279">
        <v>1</v>
      </c>
      <c r="N18" s="281">
        <v>1</v>
      </c>
      <c r="O18" s="257"/>
      <c r="P18" s="234" t="s">
        <v>201</v>
      </c>
      <c r="Q18" s="235" t="s">
        <v>202</v>
      </c>
      <c r="R18" s="235" t="s">
        <v>203</v>
      </c>
      <c r="S18" s="236" t="s">
        <v>204</v>
      </c>
      <c r="T18" s="293" t="s">
        <v>306</v>
      </c>
      <c r="U18" s="294" t="s">
        <v>320</v>
      </c>
      <c r="V18" s="257"/>
      <c r="W18" s="234" t="s">
        <v>93</v>
      </c>
      <c r="X18" s="235"/>
      <c r="Y18" s="237"/>
      <c r="Z18" s="236">
        <v>3</v>
      </c>
      <c r="AA18" s="257"/>
    </row>
    <row r="19" spans="1:27" ht="61.2" x14ac:dyDescent="0.25">
      <c r="A19" s="288">
        <v>15</v>
      </c>
      <c r="B19" s="289" t="s">
        <v>205</v>
      </c>
      <c r="C19" s="290" t="s">
        <v>340</v>
      </c>
      <c r="D19" s="233" t="s">
        <v>91</v>
      </c>
      <c r="E19" s="233" t="s">
        <v>96</v>
      </c>
      <c r="F19" s="233" t="s">
        <v>342</v>
      </c>
      <c r="G19" s="233" t="s">
        <v>341</v>
      </c>
      <c r="H19" s="279"/>
      <c r="I19" s="280"/>
      <c r="J19" s="281">
        <v>1</v>
      </c>
      <c r="K19" s="279"/>
      <c r="L19" s="281"/>
      <c r="M19" s="279"/>
      <c r="N19" s="281"/>
      <c r="O19" s="257"/>
      <c r="P19" s="238" t="s">
        <v>343</v>
      </c>
      <c r="Q19" s="239" t="s">
        <v>344</v>
      </c>
      <c r="R19" s="239" t="s">
        <v>346</v>
      </c>
      <c r="S19" s="240" t="s">
        <v>345</v>
      </c>
      <c r="T19" s="291" t="s">
        <v>307</v>
      </c>
      <c r="U19" s="292" t="s">
        <v>322</v>
      </c>
      <c r="V19" s="257"/>
      <c r="W19" s="238" t="s">
        <v>93</v>
      </c>
      <c r="X19" s="239" t="s">
        <v>206</v>
      </c>
      <c r="Y19" s="241" t="s">
        <v>207</v>
      </c>
      <c r="Z19" s="240">
        <v>3</v>
      </c>
      <c r="AA19" s="257"/>
    </row>
    <row r="20" spans="1:27" ht="81.599999999999994" x14ac:dyDescent="0.25">
      <c r="A20" s="288">
        <v>16</v>
      </c>
      <c r="B20" s="289" t="s">
        <v>208</v>
      </c>
      <c r="C20" s="290" t="s">
        <v>209</v>
      </c>
      <c r="D20" s="233" t="s">
        <v>210</v>
      </c>
      <c r="E20" s="233" t="s">
        <v>98</v>
      </c>
      <c r="F20" s="233" t="s">
        <v>211</v>
      </c>
      <c r="G20" s="233" t="s">
        <v>212</v>
      </c>
      <c r="H20" s="279"/>
      <c r="I20" s="280">
        <v>1</v>
      </c>
      <c r="J20" s="281"/>
      <c r="K20" s="279"/>
      <c r="L20" s="281"/>
      <c r="M20" s="279"/>
      <c r="N20" s="281"/>
      <c r="O20" s="257"/>
      <c r="P20" s="238" t="s">
        <v>213</v>
      </c>
      <c r="Q20" s="239" t="s">
        <v>214</v>
      </c>
      <c r="R20" s="239" t="s">
        <v>215</v>
      </c>
      <c r="S20" s="240" t="s">
        <v>216</v>
      </c>
      <c r="T20" s="291" t="s">
        <v>308</v>
      </c>
      <c r="U20" s="292" t="s">
        <v>323</v>
      </c>
      <c r="V20" s="257"/>
      <c r="W20" s="238" t="s">
        <v>186</v>
      </c>
      <c r="X20" s="239" t="s">
        <v>217</v>
      </c>
      <c r="Y20" s="241"/>
      <c r="Z20" s="240">
        <v>0</v>
      </c>
      <c r="AA20" s="257"/>
    </row>
    <row r="21" spans="1:27" ht="90.75" customHeight="1" x14ac:dyDescent="0.25">
      <c r="A21" s="288">
        <v>17</v>
      </c>
      <c r="B21" s="289" t="s">
        <v>218</v>
      </c>
      <c r="C21" s="290" t="s">
        <v>354</v>
      </c>
      <c r="D21" s="233" t="s">
        <v>210</v>
      </c>
      <c r="E21" s="233" t="s">
        <v>98</v>
      </c>
      <c r="F21" s="233" t="s">
        <v>347</v>
      </c>
      <c r="G21" s="233" t="s">
        <v>219</v>
      </c>
      <c r="H21" s="279">
        <v>1</v>
      </c>
      <c r="I21" s="280"/>
      <c r="J21" s="281"/>
      <c r="K21" s="279">
        <v>1</v>
      </c>
      <c r="L21" s="281">
        <v>1</v>
      </c>
      <c r="M21" s="279"/>
      <c r="N21" s="281">
        <v>1</v>
      </c>
      <c r="O21" s="257"/>
      <c r="P21" s="238" t="s">
        <v>348</v>
      </c>
      <c r="Q21" s="239" t="s">
        <v>349</v>
      </c>
      <c r="R21" s="239" t="s">
        <v>350</v>
      </c>
      <c r="S21" s="240" t="s">
        <v>351</v>
      </c>
      <c r="T21" s="291" t="s">
        <v>309</v>
      </c>
      <c r="U21" s="292" t="s">
        <v>323</v>
      </c>
      <c r="V21" s="257"/>
      <c r="W21" s="238" t="s">
        <v>105</v>
      </c>
      <c r="X21" s="239" t="s">
        <v>217</v>
      </c>
      <c r="Y21" s="241" t="s">
        <v>220</v>
      </c>
      <c r="Z21" s="240">
        <v>2</v>
      </c>
      <c r="AA21" s="257"/>
    </row>
    <row r="22" spans="1:27" ht="99" customHeight="1" x14ac:dyDescent="0.25">
      <c r="A22" s="288">
        <v>18</v>
      </c>
      <c r="B22" s="289" t="s">
        <v>221</v>
      </c>
      <c r="C22" s="290" t="s">
        <v>355</v>
      </c>
      <c r="D22" s="233" t="s">
        <v>210</v>
      </c>
      <c r="E22" s="233" t="s">
        <v>92</v>
      </c>
      <c r="F22" s="233" t="s">
        <v>222</v>
      </c>
      <c r="G22" s="233" t="s">
        <v>223</v>
      </c>
      <c r="H22" s="279"/>
      <c r="I22" s="280"/>
      <c r="J22" s="281"/>
      <c r="K22" s="279"/>
      <c r="L22" s="281">
        <v>1</v>
      </c>
      <c r="M22" s="279">
        <v>1</v>
      </c>
      <c r="N22" s="281">
        <v>1</v>
      </c>
      <c r="O22" s="257"/>
      <c r="P22" s="234" t="s">
        <v>224</v>
      </c>
      <c r="Q22" s="235" t="s">
        <v>225</v>
      </c>
      <c r="R22" s="235" t="s">
        <v>226</v>
      </c>
      <c r="S22" s="236" t="s">
        <v>227</v>
      </c>
      <c r="T22" s="293" t="s">
        <v>310</v>
      </c>
      <c r="U22" s="294" t="s">
        <v>323</v>
      </c>
      <c r="V22" s="257"/>
      <c r="W22" s="234" t="s">
        <v>186</v>
      </c>
      <c r="X22" s="235"/>
      <c r="Y22" s="237" t="s">
        <v>228</v>
      </c>
      <c r="Z22" s="236">
        <v>2</v>
      </c>
      <c r="AA22" s="257"/>
    </row>
    <row r="23" spans="1:27" ht="40.799999999999997" x14ac:dyDescent="0.25">
      <c r="A23" s="288">
        <v>19</v>
      </c>
      <c r="B23" s="289" t="s">
        <v>229</v>
      </c>
      <c r="C23" s="290" t="s">
        <v>356</v>
      </c>
      <c r="D23" s="233" t="s">
        <v>210</v>
      </c>
      <c r="E23" s="233" t="s">
        <v>98</v>
      </c>
      <c r="F23" s="233" t="s">
        <v>352</v>
      </c>
      <c r="G23" s="233" t="s">
        <v>230</v>
      </c>
      <c r="H23" s="279"/>
      <c r="I23" s="280"/>
      <c r="J23" s="281"/>
      <c r="K23" s="279"/>
      <c r="L23" s="281"/>
      <c r="M23" s="279"/>
      <c r="N23" s="281">
        <v>1</v>
      </c>
      <c r="O23" s="257"/>
      <c r="P23" s="249" t="s">
        <v>231</v>
      </c>
      <c r="Q23" s="250" t="s">
        <v>232</v>
      </c>
      <c r="R23" s="250" t="s">
        <v>233</v>
      </c>
      <c r="S23" s="251" t="s">
        <v>234</v>
      </c>
      <c r="T23" s="299" t="s">
        <v>353</v>
      </c>
      <c r="U23" s="294" t="s">
        <v>323</v>
      </c>
      <c r="V23" s="257"/>
      <c r="W23" s="249" t="s">
        <v>105</v>
      </c>
      <c r="X23" s="250"/>
      <c r="Y23" s="252"/>
      <c r="Z23" s="251">
        <v>2</v>
      </c>
      <c r="AA23" s="257"/>
    </row>
    <row r="24" spans="1:27" ht="61.2" x14ac:dyDescent="0.25">
      <c r="A24" s="288">
        <v>20</v>
      </c>
      <c r="B24" s="289" t="s">
        <v>235</v>
      </c>
      <c r="C24" s="290" t="s">
        <v>236</v>
      </c>
      <c r="D24" s="233" t="s">
        <v>210</v>
      </c>
      <c r="E24" s="233" t="s">
        <v>96</v>
      </c>
      <c r="F24" s="233" t="s">
        <v>237</v>
      </c>
      <c r="G24" s="233" t="s">
        <v>238</v>
      </c>
      <c r="H24" s="279">
        <v>1</v>
      </c>
      <c r="I24" s="280"/>
      <c r="J24" s="281"/>
      <c r="K24" s="279">
        <v>1</v>
      </c>
      <c r="L24" s="281"/>
      <c r="M24" s="279">
        <v>1</v>
      </c>
      <c r="N24" s="281">
        <v>1</v>
      </c>
      <c r="O24" s="257"/>
      <c r="P24" s="238" t="s">
        <v>239</v>
      </c>
      <c r="Q24" s="239" t="s">
        <v>240</v>
      </c>
      <c r="R24" s="239" t="s">
        <v>241</v>
      </c>
      <c r="S24" s="240" t="s">
        <v>242</v>
      </c>
      <c r="T24" s="291" t="s">
        <v>311</v>
      </c>
      <c r="U24" s="292"/>
      <c r="V24" s="257"/>
      <c r="W24" s="238" t="s">
        <v>105</v>
      </c>
      <c r="X24" s="239"/>
      <c r="Y24" s="241"/>
      <c r="Z24" s="240">
        <v>2</v>
      </c>
      <c r="AA24" s="257"/>
    </row>
    <row r="25" spans="1:27" ht="91.8" x14ac:dyDescent="0.25">
      <c r="A25" s="288">
        <v>21</v>
      </c>
      <c r="B25" s="289" t="s">
        <v>243</v>
      </c>
      <c r="C25" s="290" t="s">
        <v>244</v>
      </c>
      <c r="D25" s="233" t="s">
        <v>210</v>
      </c>
      <c r="E25" s="233" t="s">
        <v>96</v>
      </c>
      <c r="F25" s="233" t="s">
        <v>245</v>
      </c>
      <c r="G25" s="233" t="s">
        <v>246</v>
      </c>
      <c r="H25" s="279"/>
      <c r="I25" s="280"/>
      <c r="J25" s="281"/>
      <c r="K25" s="279"/>
      <c r="L25" s="281"/>
      <c r="M25" s="279"/>
      <c r="N25" s="281">
        <v>1</v>
      </c>
      <c r="O25" s="257"/>
      <c r="P25" s="229" t="s">
        <v>247</v>
      </c>
      <c r="Q25" s="230" t="s">
        <v>248</v>
      </c>
      <c r="R25" s="230" t="s">
        <v>249</v>
      </c>
      <c r="S25" s="231" t="s">
        <v>250</v>
      </c>
      <c r="T25" s="300" t="s">
        <v>312</v>
      </c>
      <c r="U25" s="301"/>
      <c r="V25" s="257"/>
      <c r="W25" s="229" t="s">
        <v>105</v>
      </c>
      <c r="X25" s="230"/>
      <c r="Y25" s="232"/>
      <c r="Z25" s="231">
        <v>1</v>
      </c>
      <c r="AA25" s="257"/>
    </row>
    <row r="26" spans="1:27" ht="40.799999999999997" x14ac:dyDescent="0.25">
      <c r="A26" s="288">
        <v>22</v>
      </c>
      <c r="B26" s="289" t="s">
        <v>251</v>
      </c>
      <c r="C26" s="290" t="s">
        <v>252</v>
      </c>
      <c r="D26" s="233" t="s">
        <v>210</v>
      </c>
      <c r="E26" s="233" t="s">
        <v>96</v>
      </c>
      <c r="F26" s="233" t="s">
        <v>253</v>
      </c>
      <c r="G26" s="233" t="s">
        <v>254</v>
      </c>
      <c r="H26" s="279">
        <v>1</v>
      </c>
      <c r="I26" s="280"/>
      <c r="J26" s="281"/>
      <c r="K26" s="279">
        <v>1</v>
      </c>
      <c r="L26" s="281"/>
      <c r="M26" s="279">
        <v>1</v>
      </c>
      <c r="N26" s="281">
        <v>1</v>
      </c>
      <c r="O26" s="257"/>
      <c r="P26" s="229" t="s">
        <v>255</v>
      </c>
      <c r="Q26" s="230" t="s">
        <v>256</v>
      </c>
      <c r="R26" s="230" t="s">
        <v>257</v>
      </c>
      <c r="S26" s="231" t="s">
        <v>258</v>
      </c>
      <c r="T26" s="300" t="s">
        <v>313</v>
      </c>
      <c r="U26" s="301" t="s">
        <v>324</v>
      </c>
      <c r="V26" s="257"/>
      <c r="W26" s="229" t="s">
        <v>105</v>
      </c>
      <c r="X26" s="230"/>
      <c r="Y26" s="232"/>
      <c r="Z26" s="231">
        <v>1</v>
      </c>
      <c r="AA26" s="257"/>
    </row>
    <row r="27" spans="1:27" ht="61.2" x14ac:dyDescent="0.25">
      <c r="A27" s="288">
        <v>23</v>
      </c>
      <c r="B27" s="289" t="s">
        <v>259</v>
      </c>
      <c r="C27" s="290" t="s">
        <v>260</v>
      </c>
      <c r="D27" s="233" t="s">
        <v>210</v>
      </c>
      <c r="E27" s="233" t="s">
        <v>96</v>
      </c>
      <c r="F27" s="233" t="s">
        <v>261</v>
      </c>
      <c r="G27" s="233" t="s">
        <v>262</v>
      </c>
      <c r="H27" s="279">
        <v>1</v>
      </c>
      <c r="I27" s="280"/>
      <c r="J27" s="281"/>
      <c r="K27" s="279"/>
      <c r="L27" s="281"/>
      <c r="M27" s="279"/>
      <c r="N27" s="281">
        <v>1</v>
      </c>
      <c r="O27" s="257"/>
      <c r="P27" s="253" t="s">
        <v>263</v>
      </c>
      <c r="Q27" s="254" t="s">
        <v>264</v>
      </c>
      <c r="R27" s="254" t="s">
        <v>265</v>
      </c>
      <c r="S27" s="255" t="s">
        <v>266</v>
      </c>
      <c r="T27" s="302" t="s">
        <v>314</v>
      </c>
      <c r="U27" s="303"/>
      <c r="V27" s="257"/>
      <c r="W27" s="253" t="s">
        <v>186</v>
      </c>
      <c r="X27" s="254"/>
      <c r="Y27" s="256"/>
      <c r="Z27" s="255">
        <v>1</v>
      </c>
      <c r="AA27" s="257"/>
    </row>
  </sheetData>
  <sheetProtection algorithmName="SHA-512" hashValue="G03AMBm9+5TqEp+56L3tswIdjY3aN+SaqU7J9w9CYczJaDYw/cv6TrJej0Z4YTZWewendIw9ZFhSBac9rFLJUw==" saltValue="c2OSQStN7CtJPo6XuI16Kw==" spinCount="100000" sheet="1" objects="1" scenarios="1"/>
  <sortState xmlns:xlrd2="http://schemas.microsoft.com/office/spreadsheetml/2017/richdata2" ref="A4:Z27">
    <sortCondition descending="1" ref="D4:D27"/>
  </sortState>
  <mergeCells count="10">
    <mergeCell ref="AB1:AC2"/>
    <mergeCell ref="A1:E2"/>
    <mergeCell ref="H1:J2"/>
    <mergeCell ref="K1:L2"/>
    <mergeCell ref="M1:N2"/>
    <mergeCell ref="P1:S2"/>
    <mergeCell ref="T1:U2"/>
    <mergeCell ref="O1:O3"/>
    <mergeCell ref="V1:V3"/>
    <mergeCell ref="W1:Z2"/>
  </mergeCells>
  <phoneticPr fontId="6" type="noConversion"/>
  <conditionalFormatting sqref="H4:N27">
    <cfRule type="expression" dxfId="0" priority="1">
      <formula>H4=1</formula>
    </cfRule>
  </conditionalFormatting>
  <pageMargins left="0.7" right="0.7" top="0.75" bottom="0.75" header="0.3" footer="0.3"/>
  <pageSetup paperSize="9" orientation="portrait" horizontalDpi="4294967293"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353CA6B51E92641B6319D5FEE8FCA08" ma:contentTypeVersion="4" ma:contentTypeDescription="Een nieuw document maken." ma:contentTypeScope="" ma:versionID="8929439433ff3777d0f92c68957485f4">
  <xsd:schema xmlns:xsd="http://www.w3.org/2001/XMLSchema" xmlns:xs="http://www.w3.org/2001/XMLSchema" xmlns:p="http://schemas.microsoft.com/office/2006/metadata/properties" xmlns:ns2="582f79d4-9565-4a9c-bd4e-e02107b610c7" xmlns:ns3="180eaeb9-aca1-4571-83a6-29a6c06d7150" targetNamespace="http://schemas.microsoft.com/office/2006/metadata/properties" ma:root="true" ma:fieldsID="0d91f5b1f091dd4bc9b887a46a8b04fa" ns2:_="" ns3:_="">
    <xsd:import namespace="582f79d4-9565-4a9c-bd4e-e02107b610c7"/>
    <xsd:import namespace="180eaeb9-aca1-4571-83a6-29a6c06d715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2f79d4-9565-4a9c-bd4e-e02107b610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0eaeb9-aca1-4571-83a6-29a6c06d7150"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6752ADC-3F78-439B-8421-8A81A37FFC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2f79d4-9565-4a9c-bd4e-e02107b610c7"/>
    <ds:schemaRef ds:uri="180eaeb9-aca1-4571-83a6-29a6c06d715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3E20B66-BFAE-4FAE-AD54-D7E1A8F324E1}">
  <ds:schemaRefs>
    <ds:schemaRef ds:uri="http://schemas.microsoft.com/sharepoint/v3/contenttype/forms"/>
  </ds:schemaRefs>
</ds:datastoreItem>
</file>

<file path=customXml/itemProps3.xml><?xml version="1.0" encoding="utf-8"?>
<ds:datastoreItem xmlns:ds="http://schemas.openxmlformats.org/officeDocument/2006/customXml" ds:itemID="{F6180428-846A-4FBA-9AF3-EE7E833740B6}">
  <ds:schemaRefs>
    <ds:schemaRef ds:uri="http://schemas.microsoft.com/office/infopath/2007/PartnerControls"/>
    <ds:schemaRef ds:uri="http://purl.org/dc/terms/"/>
    <ds:schemaRef ds:uri="http://purl.org/dc/elements/1.1/"/>
    <ds:schemaRef ds:uri="http://purl.org/dc/dcmitype/"/>
    <ds:schemaRef ds:uri="http://www.w3.org/XML/1998/namespace"/>
    <ds:schemaRef ds:uri="180eaeb9-aca1-4571-83a6-29a6c06d7150"/>
    <ds:schemaRef ds:uri="http://schemas.microsoft.com/office/2006/documentManagement/types"/>
    <ds:schemaRef ds:uri="http://schemas.openxmlformats.org/package/2006/metadata/core-properties"/>
    <ds:schemaRef ds:uri="582f79d4-9565-4a9c-bd4e-e02107b610c7"/>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3</vt:i4>
      </vt:variant>
    </vt:vector>
  </HeadingPairs>
  <TitlesOfParts>
    <vt:vector size="3" baseType="lpstr">
      <vt:lpstr>Rekensheet, 23-05-22</vt:lpstr>
      <vt:lpstr>Weegfactoren,14-06-21</vt:lpstr>
      <vt:lpstr>Indicatoren,16-12-21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Anink</dc:creator>
  <cp:keywords/>
  <dc:description/>
  <cp:lastModifiedBy>Marijn Emanuel</cp:lastModifiedBy>
  <cp:revision/>
  <dcterms:created xsi:type="dcterms:W3CDTF">2020-07-14T15:11:54Z</dcterms:created>
  <dcterms:modified xsi:type="dcterms:W3CDTF">2022-06-08T14:39:09Z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0x010100D353CA6B51E92641B6319D5FEE8FCA08</vt:lpwstr>
  </property>
</Properties>
</file>